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ertrieb\Innendienst\Lieferanten\"/>
    </mc:Choice>
  </mc:AlternateContent>
  <xr:revisionPtr revIDLastSave="0" documentId="8_{D1BACBC1-69E3-4AE6-AB5B-AAA6375D38A9}" xr6:coauthVersionLast="47" xr6:coauthVersionMax="47" xr10:uidLastSave="{00000000-0000-0000-0000-000000000000}"/>
  <bookViews>
    <workbookView xWindow="32811" yWindow="-103" windowWidth="33120" windowHeight="18000" xr2:uid="{9D3D0611-ABFF-4C78-8FFA-4DE28E0C6A53}"/>
  </bookViews>
  <sheets>
    <sheet name="Nachschärfen" sheetId="1" r:id="rId1"/>
    <sheet name="Tabelle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9" i="1" l="1"/>
  <c r="B579" i="1"/>
  <c r="B605" i="1"/>
  <c r="C605" i="1"/>
  <c r="B60" i="1"/>
  <c r="C60" i="1"/>
  <c r="C8" i="1"/>
  <c r="C9" i="1"/>
  <c r="C10" i="1"/>
  <c r="C11" i="1"/>
  <c r="C12" i="1"/>
  <c r="C13" i="1"/>
  <c r="C14" i="1"/>
  <c r="C15" i="1"/>
  <c r="C16" i="1"/>
  <c r="C17" i="1"/>
  <c r="C18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32" i="1"/>
  <c r="C132" i="1"/>
  <c r="B133" i="1"/>
  <c r="C133" i="1"/>
  <c r="B134" i="1"/>
  <c r="C134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35" i="1"/>
  <c r="C135" i="1"/>
  <c r="B157" i="1"/>
  <c r="C157" i="1"/>
  <c r="B158" i="1"/>
  <c r="C158" i="1"/>
  <c r="B136" i="1"/>
  <c r="C136" i="1"/>
  <c r="B137" i="1"/>
  <c r="C137" i="1"/>
  <c r="B138" i="1"/>
  <c r="C138" i="1"/>
  <c r="B139" i="1"/>
  <c r="C139" i="1"/>
  <c r="B140" i="1"/>
  <c r="C140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4" i="1"/>
  <c r="C244" i="1"/>
  <c r="B245" i="1"/>
  <c r="C245" i="1"/>
  <c r="B240" i="1"/>
  <c r="C240" i="1"/>
  <c r="B241" i="1"/>
  <c r="C241" i="1"/>
  <c r="B242" i="1"/>
  <c r="C242" i="1"/>
  <c r="B243" i="1"/>
  <c r="C243" i="1"/>
  <c r="B250" i="1"/>
  <c r="C250" i="1"/>
  <c r="B251" i="1"/>
  <c r="C251" i="1"/>
  <c r="B246" i="1"/>
  <c r="C246" i="1"/>
  <c r="B247" i="1"/>
  <c r="C247" i="1"/>
  <c r="B248" i="1"/>
  <c r="C248" i="1"/>
  <c r="B249" i="1"/>
  <c r="C249" i="1"/>
  <c r="B256" i="1"/>
  <c r="C256" i="1"/>
  <c r="B257" i="1"/>
  <c r="C257" i="1"/>
  <c r="B252" i="1"/>
  <c r="C252" i="1"/>
  <c r="B253" i="1"/>
  <c r="C253" i="1"/>
  <c r="B254" i="1"/>
  <c r="C254" i="1"/>
  <c r="B255" i="1"/>
  <c r="C255" i="1"/>
  <c r="B262" i="1"/>
  <c r="C262" i="1"/>
  <c r="B263" i="1"/>
  <c r="C263" i="1"/>
  <c r="B258" i="1"/>
  <c r="C258" i="1"/>
  <c r="B259" i="1"/>
  <c r="C259" i="1"/>
  <c r="B260" i="1"/>
  <c r="C260" i="1"/>
  <c r="B261" i="1"/>
  <c r="C261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4" i="1"/>
  <c r="C404" i="1"/>
  <c r="B405" i="1"/>
  <c r="C405" i="1"/>
  <c r="B406" i="1"/>
  <c r="C406" i="1"/>
  <c r="B401" i="1"/>
  <c r="C401" i="1"/>
  <c r="B402" i="1"/>
  <c r="C402" i="1"/>
  <c r="B403" i="1"/>
  <c r="C403" i="1"/>
  <c r="B410" i="1"/>
  <c r="C410" i="1"/>
  <c r="B411" i="1"/>
  <c r="C411" i="1"/>
  <c r="B412" i="1"/>
  <c r="C412" i="1"/>
  <c r="B407" i="1"/>
  <c r="C407" i="1"/>
  <c r="B408" i="1"/>
  <c r="C408" i="1"/>
  <c r="B409" i="1"/>
  <c r="C409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9" i="1"/>
  <c r="C529" i="1"/>
  <c r="B530" i="1"/>
  <c r="C530" i="1"/>
  <c r="B531" i="1"/>
  <c r="C531" i="1"/>
  <c r="B532" i="1"/>
  <c r="C532" i="1"/>
  <c r="B533" i="1"/>
  <c r="C533" i="1"/>
  <c r="B527" i="1"/>
  <c r="C527" i="1"/>
  <c r="B528" i="1"/>
  <c r="C528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5" i="1"/>
  <c r="C565" i="1"/>
  <c r="B566" i="1"/>
  <c r="C566" i="1"/>
  <c r="B567" i="1"/>
  <c r="C567" i="1"/>
  <c r="B568" i="1"/>
  <c r="C568" i="1"/>
  <c r="B569" i="1"/>
  <c r="C569" i="1"/>
  <c r="B563" i="1"/>
  <c r="C563" i="1"/>
  <c r="B564" i="1"/>
  <c r="C564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</calcChain>
</file>

<file path=xl/sharedStrings.xml><?xml version="1.0" encoding="utf-8"?>
<sst xmlns="http://schemas.openxmlformats.org/spreadsheetml/2006/main" count="113" uniqueCount="113">
  <si>
    <t>4444.01</t>
  </si>
  <si>
    <t>4444.02</t>
  </si>
  <si>
    <t>4444.03</t>
  </si>
  <si>
    <t>4444.04</t>
  </si>
  <si>
    <t>4444.05</t>
  </si>
  <si>
    <t>4444.06</t>
  </si>
  <si>
    <t>4444.07</t>
  </si>
  <si>
    <t>4444.08</t>
  </si>
  <si>
    <t>4444.09</t>
  </si>
  <si>
    <t>4444.10</t>
  </si>
  <si>
    <t>4444.11</t>
  </si>
  <si>
    <t>4444.12</t>
  </si>
  <si>
    <t>4444.13</t>
  </si>
  <si>
    <t>4444.14</t>
  </si>
  <si>
    <t>4444.16</t>
  </si>
  <si>
    <t>4444.18</t>
  </si>
  <si>
    <t>4444.19</t>
  </si>
  <si>
    <t>4444.20</t>
  </si>
  <si>
    <t>4444.33</t>
  </si>
  <si>
    <t>4444.22</t>
  </si>
  <si>
    <t>4444.23</t>
  </si>
  <si>
    <t>4444.28</t>
  </si>
  <si>
    <t>4444.42</t>
  </si>
  <si>
    <t>4444.21</t>
  </si>
  <si>
    <t>4444.140</t>
  </si>
  <si>
    <t>4444.141</t>
  </si>
  <si>
    <t>4444.17</t>
  </si>
  <si>
    <t>4444.24</t>
  </si>
  <si>
    <t>4444.25</t>
  </si>
  <si>
    <t>4444.26</t>
  </si>
  <si>
    <t>4444.27</t>
  </si>
  <si>
    <t>4444.29</t>
  </si>
  <si>
    <t>4444.30</t>
  </si>
  <si>
    <t>4444.31</t>
  </si>
  <si>
    <t>4444.32</t>
  </si>
  <si>
    <t>4444.34</t>
  </si>
  <si>
    <t>4444.35</t>
  </si>
  <si>
    <t>4444.36</t>
  </si>
  <si>
    <t>4444.37</t>
  </si>
  <si>
    <t>4444.38</t>
  </si>
  <si>
    <t>4444.39</t>
  </si>
  <si>
    <t>4444.40</t>
  </si>
  <si>
    <t>4444.41</t>
  </si>
  <si>
    <t>4444.43</t>
  </si>
  <si>
    <t>4444.44</t>
  </si>
  <si>
    <t>4444.45</t>
  </si>
  <si>
    <t>4444.46</t>
  </si>
  <si>
    <t>4444.67</t>
  </si>
  <si>
    <t>4444.77</t>
  </si>
  <si>
    <t>4444.75</t>
  </si>
  <si>
    <t>4444.47</t>
  </si>
  <si>
    <t>4444.48</t>
  </si>
  <si>
    <t>4444.49</t>
  </si>
  <si>
    <t>4444.50</t>
  </si>
  <si>
    <t>4444.51</t>
  </si>
  <si>
    <t>4444.52</t>
  </si>
  <si>
    <t>4444.53</t>
  </si>
  <si>
    <t>4444.54</t>
  </si>
  <si>
    <t>4444.55</t>
  </si>
  <si>
    <t>4444.56</t>
  </si>
  <si>
    <t>4444.57</t>
  </si>
  <si>
    <t>4444.58</t>
  </si>
  <si>
    <t>4444.59</t>
  </si>
  <si>
    <t>4444.60</t>
  </si>
  <si>
    <t>4444.61</t>
  </si>
  <si>
    <t>4444.62</t>
  </si>
  <si>
    <t>4444.64</t>
  </si>
  <si>
    <t>4444.65</t>
  </si>
  <si>
    <t>4444.66</t>
  </si>
  <si>
    <t>4444.68</t>
  </si>
  <si>
    <t>4444.69</t>
  </si>
  <si>
    <t>4444.70</t>
  </si>
  <si>
    <t>4444.73</t>
  </si>
  <si>
    <t>4444.74</t>
  </si>
  <si>
    <t>4444.76</t>
  </si>
  <si>
    <t>4444.78</t>
  </si>
  <si>
    <t>4444.80</t>
  </si>
  <si>
    <t>4444.81</t>
  </si>
  <si>
    <t>4444.82</t>
  </si>
  <si>
    <t>4444.83</t>
  </si>
  <si>
    <t>4444.84</t>
  </si>
  <si>
    <t>4444.85</t>
  </si>
  <si>
    <t>4444.750</t>
  </si>
  <si>
    <t>4444.740</t>
  </si>
  <si>
    <t>4444.850</t>
  </si>
  <si>
    <t>4444.86</t>
  </si>
  <si>
    <t>4444.87</t>
  </si>
  <si>
    <t>4444.88</t>
  </si>
  <si>
    <t>4444.89</t>
  </si>
  <si>
    <t>4444.90</t>
  </si>
  <si>
    <t>4444.91</t>
  </si>
  <si>
    <t>4444.93</t>
  </si>
  <si>
    <t>4444.940</t>
  </si>
  <si>
    <t>4444.94</t>
  </si>
  <si>
    <t>4444.95</t>
  </si>
  <si>
    <t>4444.701</t>
  </si>
  <si>
    <t>44440106</t>
  </si>
  <si>
    <t>44440110</t>
  </si>
  <si>
    <t>44440112</t>
  </si>
  <si>
    <t>44440114</t>
  </si>
  <si>
    <t>44440116</t>
  </si>
  <si>
    <t>44440118</t>
  </si>
  <si>
    <t>44440120</t>
  </si>
  <si>
    <t>44440125</t>
  </si>
  <si>
    <t>44440132</t>
  </si>
  <si>
    <t>44440140</t>
  </si>
  <si>
    <t>44440150</t>
  </si>
  <si>
    <t>ARNO-Kofler-Nachschärfpreisliste-gültig ab 01.03.2023</t>
  </si>
  <si>
    <t>Irrtümer, Druckfehler und Preisänderungen vorbehalten</t>
  </si>
  <si>
    <t>Artikelnummer</t>
  </si>
  <si>
    <t>Beschreibung</t>
  </si>
  <si>
    <t xml:space="preserve">Gruppe </t>
  </si>
  <si>
    <t xml:space="preserve">Einzelpreis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</si>
</sst>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8" fillId="0" borderId="0" xfId="1" applyFont="1" applyAlignment="1"/>
  </cellXfs>
  <cellStyles count="2">
    <cellStyle name="Standard" xfId="0" builtinId="0"/>
    <cellStyle name="Standard 3" xfId="1" xr:uid="{21EDB12B-AEFB-4736-BD94-C44B7D571C72}"/>
  </cellStyles>
  <dxfs count="7"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alignment horizontal="center" textRotation="0" indent="0" justifyLastLine="0" shrinkToFit="0" readingOrder="0"/>
    </dxf>
    <dxf>
      <border outline="0">
        <right style="thin">
          <color indexed="64"/>
        </right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1707696</xdr:colOff>
      <xdr:row>3</xdr:row>
      <xdr:rowOff>21447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34B5520-FEEC-4823-A809-BCDF13B85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67225" cy="5766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A66102-DFA4-4206-BF7B-60199264523C}" name="Tabelle1" displayName="Tabelle1" ref="A7:D831" totalsRowShown="0" headerRowDxfId="1" dataDxfId="0" tableBorderDxfId="6">
  <autoFilter ref="A7:D831" xr:uid="{64A66102-DFA4-4206-BF7B-60199264523C}"/>
  <tableColumns count="4">
    <tableColumn id="1" xr3:uid="{D266C179-9424-4410-8FC7-E266FC0F8385}" name="Gruppe " dataDxfId="5"/>
    <tableColumn id="2" xr3:uid="{AA9BA810-F976-4A98-A23E-B3082A3BB3CC}" name="Artikelnummer" dataDxfId="4"/>
    <tableColumn id="3" xr3:uid="{022730FB-3EA2-44A5-82B2-26D19215DCE5}" name="Beschreibung" dataDxfId="3"/>
    <tableColumn id="6" xr3:uid="{E0C795CA-71BB-4798-AEC7-950D3FBE3489}" name="Einzelpreis 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B78A9-5E30-4944-A4E3-8A6B4FF495B6}">
  <dimension ref="A1:E831"/>
  <sheetViews>
    <sheetView tabSelected="1" workbookViewId="0">
      <selection activeCell="I18" sqref="I18"/>
    </sheetView>
  </sheetViews>
  <sheetFormatPr baseColWidth="10" defaultRowHeight="18.45" x14ac:dyDescent="0.5"/>
  <cols>
    <col min="1" max="1" width="12" style="12" bestFit="1" customWidth="1"/>
    <col min="2" max="2" width="27" style="31" customWidth="1"/>
    <col min="3" max="3" width="49.3046875" style="8" customWidth="1"/>
    <col min="4" max="4" width="18.53515625" style="9" bestFit="1" customWidth="1"/>
    <col min="5" max="5" width="11.3828125" style="1"/>
    <col min="8" max="8" width="21.69140625" customWidth="1"/>
  </cols>
  <sheetData>
    <row r="1" spans="1:5" ht="14.6" x14ac:dyDescent="0.4">
      <c r="A1" s="8"/>
      <c r="B1" s="8"/>
    </row>
    <row r="2" spans="1:5" s="5" customFormat="1" ht="14.6" x14ac:dyDescent="0.4">
      <c r="A2" s="8"/>
      <c r="B2" s="8"/>
      <c r="C2" s="8"/>
      <c r="D2" s="9"/>
      <c r="E2" s="4"/>
    </row>
    <row r="3" spans="1:5" ht="14.6" x14ac:dyDescent="0.4">
      <c r="A3" s="8"/>
      <c r="B3" s="8"/>
    </row>
    <row r="4" spans="1:5" ht="15.9" x14ac:dyDescent="0.45">
      <c r="A4" s="33" t="s">
        <v>107</v>
      </c>
      <c r="B4" s="33"/>
      <c r="C4" s="33"/>
    </row>
    <row r="5" spans="1:5" ht="14.6" x14ac:dyDescent="0.4">
      <c r="A5" s="11"/>
      <c r="B5" s="10"/>
      <c r="C5" s="6" t="s">
        <v>108</v>
      </c>
      <c r="D5" s="6"/>
    </row>
    <row r="6" spans="1:5" ht="20.6" x14ac:dyDescent="0.55000000000000004">
      <c r="B6" s="13"/>
    </row>
    <row r="7" spans="1:5" x14ac:dyDescent="0.4">
      <c r="A7" s="32" t="s">
        <v>111</v>
      </c>
      <c r="B7" s="2" t="s">
        <v>109</v>
      </c>
      <c r="C7" s="3" t="s">
        <v>110</v>
      </c>
      <c r="D7" s="7" t="s">
        <v>112</v>
      </c>
    </row>
    <row r="8" spans="1:5" x14ac:dyDescent="0.5">
      <c r="A8" s="12" t="s">
        <v>0</v>
      </c>
      <c r="B8" s="14" t="s">
        <v>96</v>
      </c>
      <c r="C8" s="15" t="str">
        <f>"VHM-Schaftfräser bis 4 Z - ø 6,0 mm"</f>
        <v>VHM-Schaftfräser bis 4 Z - ø 6,0 mm</v>
      </c>
      <c r="D8" s="16">
        <v>7.68</v>
      </c>
    </row>
    <row r="9" spans="1:5" x14ac:dyDescent="0.5">
      <c r="B9" s="14">
        <v>44440108</v>
      </c>
      <c r="C9" s="15" t="str">
        <f>"VHM-Schaftfräser bis 4 Z - ø 8,0 mm"</f>
        <v>VHM-Schaftfräser bis 4 Z - ø 8,0 mm</v>
      </c>
      <c r="D9" s="16">
        <v>7.68</v>
      </c>
    </row>
    <row r="10" spans="1:5" x14ac:dyDescent="0.5">
      <c r="B10" s="14" t="s">
        <v>97</v>
      </c>
      <c r="C10" s="15" t="str">
        <f>"VHM-Schaftfräser bis 4 Z - ø 10,0 mm"</f>
        <v>VHM-Schaftfräser bis 4 Z - ø 10,0 mm</v>
      </c>
      <c r="D10" s="16">
        <v>7.68</v>
      </c>
    </row>
    <row r="11" spans="1:5" x14ac:dyDescent="0.5">
      <c r="B11" s="14" t="s">
        <v>98</v>
      </c>
      <c r="C11" s="15" t="str">
        <f>"VHM-Schaftfräser bis 4 Z - ø 12,0 mm"</f>
        <v>VHM-Schaftfräser bis 4 Z - ø 12,0 mm</v>
      </c>
      <c r="D11" s="16">
        <v>10.89</v>
      </c>
    </row>
    <row r="12" spans="1:5" x14ac:dyDescent="0.5">
      <c r="B12" s="14" t="s">
        <v>99</v>
      </c>
      <c r="C12" s="15" t="str">
        <f>"VHM-Schaftfräser bis 4 Z - ø 14,0 mm"</f>
        <v>VHM-Schaftfräser bis 4 Z - ø 14,0 mm</v>
      </c>
      <c r="D12" s="16">
        <v>10.89</v>
      </c>
    </row>
    <row r="13" spans="1:5" x14ac:dyDescent="0.5">
      <c r="B13" s="14" t="s">
        <v>100</v>
      </c>
      <c r="C13" s="15" t="str">
        <f>"VHM-Schaftfräser bis 4 Z - ø 16,0 mm"</f>
        <v>VHM-Schaftfräser bis 4 Z - ø 16,0 mm</v>
      </c>
      <c r="D13" s="16">
        <v>14.77</v>
      </c>
    </row>
    <row r="14" spans="1:5" x14ac:dyDescent="0.5">
      <c r="B14" s="14" t="s">
        <v>101</v>
      </c>
      <c r="C14" s="15" t="str">
        <f>"VHM-Schaftfräser bis 4 Z - ø 18,0 mm"</f>
        <v>VHM-Schaftfräser bis 4 Z - ø 18,0 mm</v>
      </c>
      <c r="D14" s="16">
        <v>14.77</v>
      </c>
    </row>
    <row r="15" spans="1:5" x14ac:dyDescent="0.5">
      <c r="B15" s="14" t="s">
        <v>102</v>
      </c>
      <c r="C15" s="15" t="str">
        <f>"VHM-Schaftfräser bis 4 Z - ø 20,0 mm"</f>
        <v>VHM-Schaftfräser bis 4 Z - ø 20,0 mm</v>
      </c>
      <c r="D15" s="16">
        <v>14.77</v>
      </c>
    </row>
    <row r="16" spans="1:5" x14ac:dyDescent="0.5">
      <c r="B16" s="14" t="s">
        <v>103</v>
      </c>
      <c r="C16" s="15" t="str">
        <f>"VHM-Schaftfräser bis 4 Z - ø 25,0 mm"</f>
        <v>VHM-Schaftfräser bis 4 Z - ø 25,0 mm</v>
      </c>
      <c r="D16" s="16">
        <v>22.25</v>
      </c>
    </row>
    <row r="17" spans="1:4" x14ac:dyDescent="0.5">
      <c r="B17" s="14" t="s">
        <v>104</v>
      </c>
      <c r="C17" s="15" t="str">
        <f>"VHM-Schaftfräser bis 4 Z - ø 32,0 mm"</f>
        <v>VHM-Schaftfräser bis 4 Z - ø 32,0 mm</v>
      </c>
      <c r="D17" s="16">
        <v>33.14</v>
      </c>
    </row>
    <row r="18" spans="1:4" x14ac:dyDescent="0.5">
      <c r="B18" s="14" t="s">
        <v>105</v>
      </c>
      <c r="C18" s="15" t="str">
        <f>"VHM-Schaftfräser bis 4 Z - ø 40,0 mm"</f>
        <v>VHM-Schaftfräser bis 4 Z - ø 40,0 mm</v>
      </c>
      <c r="D18" s="16">
        <v>33.14</v>
      </c>
    </row>
    <row r="19" spans="1:4" ht="18.899999999999999" thickBot="1" x14ac:dyDescent="0.55000000000000004">
      <c r="A19" s="17"/>
      <c r="B19" s="18" t="s">
        <v>106</v>
      </c>
      <c r="C19" s="19" t="str">
        <f>"VHM-Schaftfräser bis 4 Z - ø 50,0 mm"</f>
        <v>VHM-Schaftfräser bis 4 Z - ø 50,0 mm</v>
      </c>
      <c r="D19" s="20">
        <v>48.47</v>
      </c>
    </row>
    <row r="20" spans="1:4" x14ac:dyDescent="0.5">
      <c r="A20" s="12" t="s">
        <v>1</v>
      </c>
      <c r="B20" s="21" t="str">
        <f>"44440206"</f>
        <v>44440206</v>
      </c>
      <c r="C20" s="22" t="str">
        <f>"VHM-Schruppfräser bis 4 Z - ø 6,0mm"</f>
        <v>VHM-Schruppfräser bis 4 Z - ø 6,0mm</v>
      </c>
      <c r="D20" s="23">
        <v>8.89</v>
      </c>
    </row>
    <row r="21" spans="1:4" x14ac:dyDescent="0.5">
      <c r="B21" s="14" t="str">
        <f>"44440208"</f>
        <v>44440208</v>
      </c>
      <c r="C21" s="15" t="str">
        <f>"VHM-Schruppfräser bis 4 Z - ø 8,0mm"</f>
        <v>VHM-Schruppfräser bis 4 Z - ø 8,0mm</v>
      </c>
      <c r="D21" s="16">
        <v>8.89</v>
      </c>
    </row>
    <row r="22" spans="1:4" x14ac:dyDescent="0.5">
      <c r="B22" s="14" t="str">
        <f>"44440210"</f>
        <v>44440210</v>
      </c>
      <c r="C22" s="15" t="str">
        <f>"VHM-Schruppfräser bis 4 Z - ø 10,0mm"</f>
        <v>VHM-Schruppfräser bis 4 Z - ø 10,0mm</v>
      </c>
      <c r="D22" s="16">
        <v>8.89</v>
      </c>
    </row>
    <row r="23" spans="1:4" x14ac:dyDescent="0.5">
      <c r="B23" s="14" t="str">
        <f>"44440212"</f>
        <v>44440212</v>
      </c>
      <c r="C23" s="15" t="str">
        <f>"VHM-Schruppfräser bis 4 Z - ø 12,0mm"</f>
        <v>VHM-Schruppfräser bis 4 Z - ø 12,0mm</v>
      </c>
      <c r="D23" s="16">
        <v>12.55</v>
      </c>
    </row>
    <row r="24" spans="1:4" x14ac:dyDescent="0.5">
      <c r="B24" s="14" t="str">
        <f>"44440214"</f>
        <v>44440214</v>
      </c>
      <c r="C24" s="15" t="str">
        <f>"VHM-Schruppfräser bis 4 Z - ø 14,0mm"</f>
        <v>VHM-Schruppfräser bis 4 Z - ø 14,0mm</v>
      </c>
      <c r="D24" s="16">
        <v>12.55</v>
      </c>
    </row>
    <row r="25" spans="1:4" x14ac:dyDescent="0.5">
      <c r="B25" s="14" t="str">
        <f>"44440216"</f>
        <v>44440216</v>
      </c>
      <c r="C25" s="15" t="str">
        <f>"VHM-Schruppfräser bis 4 Z - ø 16,0mm"</f>
        <v>VHM-Schruppfräser bis 4 Z - ø 16,0mm</v>
      </c>
      <c r="D25" s="16">
        <v>17.04</v>
      </c>
    </row>
    <row r="26" spans="1:4" x14ac:dyDescent="0.5">
      <c r="B26" s="14" t="str">
        <f>"44440218"</f>
        <v>44440218</v>
      </c>
      <c r="C26" s="15" t="str">
        <f>"VHM-Schruppfräser bis 4 Z - ø 18,0mm"</f>
        <v>VHM-Schruppfräser bis 4 Z - ø 18,0mm</v>
      </c>
      <c r="D26" s="16">
        <v>17.04</v>
      </c>
    </row>
    <row r="27" spans="1:4" x14ac:dyDescent="0.5">
      <c r="B27" s="14" t="str">
        <f>"44440220"</f>
        <v>44440220</v>
      </c>
      <c r="C27" s="15" t="str">
        <f>"VHM-Schruppfräser bis 4 Z - ø 20,0mm"</f>
        <v>VHM-Schruppfräser bis 4 Z - ø 20,0mm</v>
      </c>
      <c r="D27" s="16">
        <v>17.04</v>
      </c>
    </row>
    <row r="28" spans="1:4" x14ac:dyDescent="0.5">
      <c r="B28" s="14" t="str">
        <f>"44440225"</f>
        <v>44440225</v>
      </c>
      <c r="C28" s="15" t="str">
        <f>"VHM-Schruppfräser bis 4 Z - ø 25,0mm"</f>
        <v>VHM-Schruppfräser bis 4 Z - ø 25,0mm</v>
      </c>
      <c r="D28" s="16">
        <v>25.59</v>
      </c>
    </row>
    <row r="29" spans="1:4" ht="18.899999999999999" thickBot="1" x14ac:dyDescent="0.55000000000000004">
      <c r="A29" s="17"/>
      <c r="B29" s="18" t="str">
        <f>"44440232"</f>
        <v>44440232</v>
      </c>
      <c r="C29" s="19" t="str">
        <f>"VHM-Schruppfräser bis 4 Z - ø 32,0mm"</f>
        <v>VHM-Schruppfräser bis 4 Z - ø 32,0mm</v>
      </c>
      <c r="D29" s="20">
        <v>38.08</v>
      </c>
    </row>
    <row r="30" spans="1:4" x14ac:dyDescent="0.5">
      <c r="A30" s="12" t="s">
        <v>2</v>
      </c>
      <c r="B30" s="21" t="str">
        <f>"44440306"</f>
        <v>44440306</v>
      </c>
      <c r="C30" s="22" t="str">
        <f>"VHM-Radiusfräser bis 4 Z - ø 6,0mm"</f>
        <v>VHM-Radiusfräser bis 4 Z - ø 6,0mm</v>
      </c>
      <c r="D30" s="23">
        <v>13.96</v>
      </c>
    </row>
    <row r="31" spans="1:4" x14ac:dyDescent="0.5">
      <c r="B31" s="14" t="str">
        <f>"44440308"</f>
        <v>44440308</v>
      </c>
      <c r="C31" s="15" t="str">
        <f>"VHM-Radiusfräser bis 4 Z - ø 8,0mm"</f>
        <v>VHM-Radiusfräser bis 4 Z - ø 8,0mm</v>
      </c>
      <c r="D31" s="16">
        <v>13.96</v>
      </c>
    </row>
    <row r="32" spans="1:4" x14ac:dyDescent="0.5">
      <c r="B32" s="14" t="str">
        <f>"44440310"</f>
        <v>44440310</v>
      </c>
      <c r="C32" s="15" t="str">
        <f>"VHM-Radiusfräser bis 4 Z - ø 10,0mm"</f>
        <v>VHM-Radiusfräser bis 4 Z - ø 10,0mm</v>
      </c>
      <c r="D32" s="16">
        <v>13.96</v>
      </c>
    </row>
    <row r="33" spans="1:4" x14ac:dyDescent="0.5">
      <c r="B33" s="14" t="str">
        <f>"44440312"</f>
        <v>44440312</v>
      </c>
      <c r="C33" s="15" t="str">
        <f>"VHM-Radiusfräser bis 4 Z - ø 12,0mm"</f>
        <v>VHM-Radiusfräser bis 4 Z - ø 12,0mm</v>
      </c>
      <c r="D33" s="16">
        <v>19.8</v>
      </c>
    </row>
    <row r="34" spans="1:4" x14ac:dyDescent="0.5">
      <c r="B34" s="14" t="str">
        <f>"44440314"</f>
        <v>44440314</v>
      </c>
      <c r="C34" s="15" t="str">
        <f>"VHM-Radiusfräser bis 4 Z - ø 14,0mm"</f>
        <v>VHM-Radiusfräser bis 4 Z - ø 14,0mm</v>
      </c>
      <c r="D34" s="16">
        <v>19.8</v>
      </c>
    </row>
    <row r="35" spans="1:4" x14ac:dyDescent="0.5">
      <c r="B35" s="14" t="str">
        <f>"44440316"</f>
        <v>44440316</v>
      </c>
      <c r="C35" s="15" t="str">
        <f>"VHM-Radiusfräser bis 4 Z - ø 16,0mm"</f>
        <v>VHM-Radiusfräser bis 4 Z - ø 16,0mm</v>
      </c>
      <c r="D35" s="16">
        <v>26.83</v>
      </c>
    </row>
    <row r="36" spans="1:4" x14ac:dyDescent="0.5">
      <c r="B36" s="14" t="str">
        <f>"44440318"</f>
        <v>44440318</v>
      </c>
      <c r="C36" s="15" t="str">
        <f>"VHM-Radiusfräser bis 4 Z - ø 18,0mm"</f>
        <v>VHM-Radiusfräser bis 4 Z - ø 18,0mm</v>
      </c>
      <c r="D36" s="16">
        <v>26.83</v>
      </c>
    </row>
    <row r="37" spans="1:4" x14ac:dyDescent="0.5">
      <c r="B37" s="14" t="str">
        <f>"44440320"</f>
        <v>44440320</v>
      </c>
      <c r="C37" s="15" t="str">
        <f>"VHM-Radiusfräser bis 4 Z - ø 20,0mm"</f>
        <v>VHM-Radiusfräser bis 4 Z - ø 20,0mm</v>
      </c>
      <c r="D37" s="16">
        <v>26.83</v>
      </c>
    </row>
    <row r="38" spans="1:4" x14ac:dyDescent="0.5">
      <c r="B38" s="14" t="str">
        <f>"44440325"</f>
        <v>44440325</v>
      </c>
      <c r="C38" s="15" t="str">
        <f>"VHM-Radiusfräser bis 4 Z - ø 25,0mm"</f>
        <v>VHM-Radiusfräser bis 4 Z - ø 25,0mm</v>
      </c>
      <c r="D38" s="16">
        <v>40.44</v>
      </c>
    </row>
    <row r="39" spans="1:4" ht="18.899999999999999" thickBot="1" x14ac:dyDescent="0.55000000000000004">
      <c r="A39" s="17"/>
      <c r="B39" s="18" t="str">
        <f>"44440332"</f>
        <v>44440332</v>
      </c>
      <c r="C39" s="19" t="str">
        <f>"VHM-Radiusfräser bis 4 Z - ø 32,0mm"</f>
        <v>VHM-Radiusfräser bis 4 Z - ø 32,0mm</v>
      </c>
      <c r="D39" s="20">
        <v>60.16</v>
      </c>
    </row>
    <row r="40" spans="1:4" x14ac:dyDescent="0.5">
      <c r="A40" s="12" t="s">
        <v>3</v>
      </c>
      <c r="B40" s="21" t="str">
        <f>"44440406"</f>
        <v>44440406</v>
      </c>
      <c r="C40" s="22" t="str">
        <f>"VHM-Schaftfräser Überlang bis 4Z -ø6,0"</f>
        <v>VHM-Schaftfräser Überlang bis 4Z -ø6,0</v>
      </c>
      <c r="D40" s="23">
        <v>10.029999999999999</v>
      </c>
    </row>
    <row r="41" spans="1:4" x14ac:dyDescent="0.5">
      <c r="B41" s="14" t="str">
        <f>"44440408"</f>
        <v>44440408</v>
      </c>
      <c r="C41" s="15" t="str">
        <f>"VHM-Schaftfräser Überlang bis 4Z -ø8,0"</f>
        <v>VHM-Schaftfräser Überlang bis 4Z -ø8,0</v>
      </c>
      <c r="D41" s="16">
        <v>10.029999999999999</v>
      </c>
    </row>
    <row r="42" spans="1:4" x14ac:dyDescent="0.5">
      <c r="B42" s="14" t="str">
        <f>"44440410"</f>
        <v>44440410</v>
      </c>
      <c r="C42" s="15" t="str">
        <f>"VHM-Schaftfräser Überlang bis 4Z -ø10,0"</f>
        <v>VHM-Schaftfräser Überlang bis 4Z -ø10,0</v>
      </c>
      <c r="D42" s="16">
        <v>10.029999999999999</v>
      </c>
    </row>
    <row r="43" spans="1:4" x14ac:dyDescent="0.5">
      <c r="B43" s="14" t="str">
        <f>"44440412"</f>
        <v>44440412</v>
      </c>
      <c r="C43" s="15" t="str">
        <f>"VHM-Schaftfräser Überlang bis 4Z -ø12,0"</f>
        <v>VHM-Schaftfräser Überlang bis 4Z -ø12,0</v>
      </c>
      <c r="D43" s="16">
        <v>14.16</v>
      </c>
    </row>
    <row r="44" spans="1:4" x14ac:dyDescent="0.5">
      <c r="B44" s="14" t="str">
        <f>"44440414"</f>
        <v>44440414</v>
      </c>
      <c r="C44" s="15" t="str">
        <f>"VHM-Schaftfräser Überlang bis 4Z -ø14,0"</f>
        <v>VHM-Schaftfräser Überlang bis 4Z -ø14,0</v>
      </c>
      <c r="D44" s="16">
        <v>14.16</v>
      </c>
    </row>
    <row r="45" spans="1:4" x14ac:dyDescent="0.5">
      <c r="B45" s="14" t="str">
        <f>"44440416"</f>
        <v>44440416</v>
      </c>
      <c r="C45" s="15" t="str">
        <f>"VHM-Schaftfräser Überlang bis 4Z -ø16,0"</f>
        <v>VHM-Schaftfräser Überlang bis 4Z -ø16,0</v>
      </c>
      <c r="D45" s="16">
        <v>19.239999999999998</v>
      </c>
    </row>
    <row r="46" spans="1:4" x14ac:dyDescent="0.5">
      <c r="B46" s="14" t="str">
        <f>"44440418"</f>
        <v>44440418</v>
      </c>
      <c r="C46" s="15" t="str">
        <f>"VHM-Schaftfräser Überlang bis 4Z -ø18,0"</f>
        <v>VHM-Schaftfräser Überlang bis 4Z -ø18,0</v>
      </c>
      <c r="D46" s="16">
        <v>19.239999999999998</v>
      </c>
    </row>
    <row r="47" spans="1:4" x14ac:dyDescent="0.5">
      <c r="B47" s="14" t="str">
        <f>"44440420"</f>
        <v>44440420</v>
      </c>
      <c r="C47" s="15" t="str">
        <f>"VHM-Schaftfräser Überlang bis 4Z -ø20,0"</f>
        <v>VHM-Schaftfräser Überlang bis 4Z -ø20,0</v>
      </c>
      <c r="D47" s="16">
        <v>19.239999999999998</v>
      </c>
    </row>
    <row r="48" spans="1:4" x14ac:dyDescent="0.5">
      <c r="B48" s="14" t="str">
        <f>"44440425"</f>
        <v>44440425</v>
      </c>
      <c r="C48" s="15" t="str">
        <f>"VHM-Schaftfräser Überlang bis 4Z -ø25,0"</f>
        <v>VHM-Schaftfräser Überlang bis 4Z -ø25,0</v>
      </c>
      <c r="D48" s="16">
        <v>28.93</v>
      </c>
    </row>
    <row r="49" spans="1:4" ht="18.899999999999999" thickBot="1" x14ac:dyDescent="0.55000000000000004">
      <c r="A49" s="17"/>
      <c r="B49" s="18" t="str">
        <f>"44440432"</f>
        <v>44440432</v>
      </c>
      <c r="C49" s="19" t="str">
        <f>"VHM-Schaftfräser Überlang bis 4Z -ø32,0"</f>
        <v>VHM-Schaftfräser Überlang bis 4Z -ø32,0</v>
      </c>
      <c r="D49" s="20">
        <v>43.09</v>
      </c>
    </row>
    <row r="50" spans="1:4" x14ac:dyDescent="0.5">
      <c r="A50" s="12" t="s">
        <v>4</v>
      </c>
      <c r="B50" s="21" t="str">
        <f>"44440506"</f>
        <v>44440506</v>
      </c>
      <c r="C50" s="22" t="str">
        <f>"VHM-Schruppfräser Überlang bis 4Z-ø6,0"</f>
        <v>VHM-Schruppfräser Überlang bis 4Z-ø6,0</v>
      </c>
      <c r="D50" s="23">
        <v>11.57</v>
      </c>
    </row>
    <row r="51" spans="1:4" x14ac:dyDescent="0.5">
      <c r="B51" s="14" t="str">
        <f>"44440508"</f>
        <v>44440508</v>
      </c>
      <c r="C51" s="15" t="str">
        <f>"VHM-Schruppfräser Überlang bis 4Z-ø8,0"</f>
        <v>VHM-Schruppfräser Überlang bis 4Z-ø8,0</v>
      </c>
      <c r="D51" s="16">
        <v>11.57</v>
      </c>
    </row>
    <row r="52" spans="1:4" x14ac:dyDescent="0.5">
      <c r="B52" s="14" t="str">
        <f>"44440510"</f>
        <v>44440510</v>
      </c>
      <c r="C52" s="15" t="str">
        <f>"VHM-Schruppfräser Überlang bis 4Z-ø10,0"</f>
        <v>VHM-Schruppfräser Überlang bis 4Z-ø10,0</v>
      </c>
      <c r="D52" s="16">
        <v>11.57</v>
      </c>
    </row>
    <row r="53" spans="1:4" x14ac:dyDescent="0.5">
      <c r="B53" s="14" t="str">
        <f>"44440512"</f>
        <v>44440512</v>
      </c>
      <c r="C53" s="15" t="str">
        <f>"VHM-Schruppfräser Überlang bis 4Z-ø12,0"</f>
        <v>VHM-Schruppfräser Überlang bis 4Z-ø12,0</v>
      </c>
      <c r="D53" s="16">
        <v>16.37</v>
      </c>
    </row>
    <row r="54" spans="1:4" x14ac:dyDescent="0.5">
      <c r="B54" s="14" t="str">
        <f>"44440514"</f>
        <v>44440514</v>
      </c>
      <c r="C54" s="15" t="str">
        <f>"VHM-Schruppfräser Überlang bis 4Z-ø14,0"</f>
        <v>VHM-Schruppfräser Überlang bis 4Z-ø14,0</v>
      </c>
      <c r="D54" s="16">
        <v>16.37</v>
      </c>
    </row>
    <row r="55" spans="1:4" x14ac:dyDescent="0.5">
      <c r="B55" s="14" t="str">
        <f>"44440516"</f>
        <v>44440516</v>
      </c>
      <c r="C55" s="15" t="str">
        <f>"VHM-Schruppfräser Überlang bis 4Z-ø16,0"</f>
        <v>VHM-Schruppfräser Überlang bis 4Z-ø16,0</v>
      </c>
      <c r="D55" s="16">
        <v>22.25</v>
      </c>
    </row>
    <row r="56" spans="1:4" x14ac:dyDescent="0.5">
      <c r="B56" s="14" t="str">
        <f>"44440518"</f>
        <v>44440518</v>
      </c>
      <c r="C56" s="15" t="str">
        <f>"VHM-Schruppfräser Überlang bis 4Z-ø18,0"</f>
        <v>VHM-Schruppfräser Überlang bis 4Z-ø18,0</v>
      </c>
      <c r="D56" s="16">
        <v>22.25</v>
      </c>
    </row>
    <row r="57" spans="1:4" x14ac:dyDescent="0.5">
      <c r="B57" s="14" t="str">
        <f>"44440520"</f>
        <v>44440520</v>
      </c>
      <c r="C57" s="15" t="str">
        <f>"VHM-Schruppfräser Überlang bis 4Z-ø20,0"</f>
        <v>VHM-Schruppfräser Überlang bis 4Z-ø20,0</v>
      </c>
      <c r="D57" s="16">
        <v>22.25</v>
      </c>
    </row>
    <row r="58" spans="1:4" x14ac:dyDescent="0.5">
      <c r="B58" s="14" t="str">
        <f>"44440525"</f>
        <v>44440525</v>
      </c>
      <c r="C58" s="15" t="str">
        <f>"VHM-Schruppfräser Überlang bis 4Z-ø25,0"</f>
        <v>VHM-Schruppfräser Überlang bis 4Z-ø25,0</v>
      </c>
      <c r="D58" s="16">
        <v>33.4</v>
      </c>
    </row>
    <row r="59" spans="1:4" ht="18.899999999999999" thickBot="1" x14ac:dyDescent="0.55000000000000004">
      <c r="A59" s="17"/>
      <c r="B59" s="18" t="str">
        <f>"44440532"</f>
        <v>44440532</v>
      </c>
      <c r="C59" s="19" t="str">
        <f>"VHM-Schruppfräser Überlang bis 4Z-ø32,0"</f>
        <v>VHM-Schruppfräser Überlang bis 4Z-ø32,0</v>
      </c>
      <c r="D59" s="20">
        <v>43.09</v>
      </c>
    </row>
    <row r="60" spans="1:4" x14ac:dyDescent="0.5">
      <c r="A60" s="12" t="s">
        <v>5</v>
      </c>
      <c r="B60" s="21" t="str">
        <f>"44440606"</f>
        <v>44440606</v>
      </c>
      <c r="C60" s="22" t="str">
        <f>"VHM-Schaftfräser konisch od. 8Z -ø6,0"</f>
        <v>VHM-Schaftfräser konisch od. 8Z -ø6,0</v>
      </c>
      <c r="D60" s="23">
        <v>11.57</v>
      </c>
    </row>
    <row r="61" spans="1:4" x14ac:dyDescent="0.5">
      <c r="B61" s="14" t="str">
        <f>"44440608"</f>
        <v>44440608</v>
      </c>
      <c r="C61" s="15" t="str">
        <f>"VHM-Schaftfräser konisch od. 8Z -ø8,0"</f>
        <v>VHM-Schaftfräser konisch od. 8Z -ø8,0</v>
      </c>
      <c r="D61" s="16">
        <v>11.57</v>
      </c>
    </row>
    <row r="62" spans="1:4" x14ac:dyDescent="0.5">
      <c r="B62" s="14" t="str">
        <f>"44440610"</f>
        <v>44440610</v>
      </c>
      <c r="C62" s="15" t="str">
        <f>"VHM-Schaftfräser konisch od. 8Z -ø10,0"</f>
        <v>VHM-Schaftfräser konisch od. 8Z -ø10,0</v>
      </c>
      <c r="D62" s="16">
        <v>11.57</v>
      </c>
    </row>
    <row r="63" spans="1:4" x14ac:dyDescent="0.5">
      <c r="B63" s="14" t="str">
        <f>"44440612"</f>
        <v>44440612</v>
      </c>
      <c r="C63" s="15" t="str">
        <f>"VHM-Schaftfräser konisch od. 8Z -ø12,0"</f>
        <v>VHM-Schaftfräser konisch od. 8Z -ø12,0</v>
      </c>
      <c r="D63" s="16">
        <v>16.37</v>
      </c>
    </row>
    <row r="64" spans="1:4" x14ac:dyDescent="0.5">
      <c r="B64" s="14" t="str">
        <f>"44440614"</f>
        <v>44440614</v>
      </c>
      <c r="C64" s="15" t="str">
        <f>"VHM-Schaftfräser konisch od. 8Z -ø14,0"</f>
        <v>VHM-Schaftfräser konisch od. 8Z -ø14,0</v>
      </c>
      <c r="D64" s="16">
        <v>16.37</v>
      </c>
    </row>
    <row r="65" spans="1:4" x14ac:dyDescent="0.5">
      <c r="B65" s="14" t="str">
        <f>"44440616"</f>
        <v>44440616</v>
      </c>
      <c r="C65" s="15" t="str">
        <f>"VHM-Schaftfräser konisch od. 8Z -ø16,0"</f>
        <v>VHM-Schaftfräser konisch od. 8Z -ø16,0</v>
      </c>
      <c r="D65" s="16">
        <v>22.25</v>
      </c>
    </row>
    <row r="66" spans="1:4" x14ac:dyDescent="0.5">
      <c r="B66" s="14" t="str">
        <f>"44440618"</f>
        <v>44440618</v>
      </c>
      <c r="C66" s="15" t="str">
        <f>"VHM-Schaftfräser konisch od. 8Z -ø18,0"</f>
        <v>VHM-Schaftfräser konisch od. 8Z -ø18,0</v>
      </c>
      <c r="D66" s="16">
        <v>22.25</v>
      </c>
    </row>
    <row r="67" spans="1:4" x14ac:dyDescent="0.5">
      <c r="B67" s="14" t="str">
        <f>"44440620"</f>
        <v>44440620</v>
      </c>
      <c r="C67" s="15" t="str">
        <f>"VHM-Schaftfräser konisch od. 8Z -ø20,0"</f>
        <v>VHM-Schaftfräser konisch od. 8Z -ø20,0</v>
      </c>
      <c r="D67" s="16">
        <v>22.25</v>
      </c>
    </row>
    <row r="68" spans="1:4" x14ac:dyDescent="0.5">
      <c r="B68" s="14" t="str">
        <f>"44440625"</f>
        <v>44440625</v>
      </c>
      <c r="C68" s="15" t="str">
        <f>"VHM-Schaftfräser konisch od. 8Z -ø25,0"</f>
        <v>VHM-Schaftfräser konisch od. 8Z -ø25,0</v>
      </c>
      <c r="D68" s="16">
        <v>33.4</v>
      </c>
    </row>
    <row r="69" spans="1:4" ht="18.899999999999999" thickBot="1" x14ac:dyDescent="0.55000000000000004">
      <c r="A69" s="17"/>
      <c r="B69" s="18" t="str">
        <f>"44440632"</f>
        <v>44440632</v>
      </c>
      <c r="C69" s="19" t="str">
        <f>"VHM-Schaftfräser konisch od. 8Z -ø32,0"</f>
        <v>VHM-Schaftfräser konisch od. 8Z -ø32,0</v>
      </c>
      <c r="D69" s="20">
        <v>49.69</v>
      </c>
    </row>
    <row r="70" spans="1:4" x14ac:dyDescent="0.5">
      <c r="A70" s="12" t="s">
        <v>6</v>
      </c>
      <c r="B70" s="21" t="str">
        <f>"44440706"</f>
        <v>44440706</v>
      </c>
      <c r="C70" s="22" t="str">
        <f>"VHM-Multifunktionswerkzeug - ø 6,0 mm"</f>
        <v>VHM-Multifunktionswerkzeug - ø 6,0 mm</v>
      </c>
      <c r="D70" s="23">
        <v>10.5</v>
      </c>
    </row>
    <row r="71" spans="1:4" x14ac:dyDescent="0.5">
      <c r="B71" s="14" t="str">
        <f>"44440708"</f>
        <v>44440708</v>
      </c>
      <c r="C71" s="15" t="str">
        <f>"VHM-Multifunktionswerkzeug - ø 8,0 mm"</f>
        <v>VHM-Multifunktionswerkzeug - ø 8,0 mm</v>
      </c>
      <c r="D71" s="16">
        <v>10.5</v>
      </c>
    </row>
    <row r="72" spans="1:4" x14ac:dyDescent="0.5">
      <c r="B72" s="14" t="str">
        <f>"44440710"</f>
        <v>44440710</v>
      </c>
      <c r="C72" s="15" t="str">
        <f>"VHM-Multifunktionswerkzeug - ø 10,0 mm"</f>
        <v>VHM-Multifunktionswerkzeug - ø 10,0 mm</v>
      </c>
      <c r="D72" s="16">
        <v>10.5</v>
      </c>
    </row>
    <row r="73" spans="1:4" x14ac:dyDescent="0.5">
      <c r="B73" s="14" t="str">
        <f>"44440712"</f>
        <v>44440712</v>
      </c>
      <c r="C73" s="15" t="str">
        <f>"VHM-Multifunktionswerkzeugl - ø 12,0 mm"</f>
        <v>VHM-Multifunktionswerkzeugl - ø 12,0 mm</v>
      </c>
      <c r="D73" s="16">
        <v>15.31</v>
      </c>
    </row>
    <row r="74" spans="1:4" x14ac:dyDescent="0.5">
      <c r="B74" s="14" t="str">
        <f>"44440714"</f>
        <v>44440714</v>
      </c>
      <c r="C74" s="15" t="str">
        <f>"VHM-Multifunktionswerkzeug - ø 14,0 mm"</f>
        <v>VHM-Multifunktionswerkzeug - ø 14,0 mm</v>
      </c>
      <c r="D74" s="16">
        <v>15.31</v>
      </c>
    </row>
    <row r="75" spans="1:4" x14ac:dyDescent="0.5">
      <c r="B75" s="14" t="str">
        <f>"44440716"</f>
        <v>44440716</v>
      </c>
      <c r="C75" s="15" t="str">
        <f>"VHM-Multifunktionswerkzeug - ø 16,0 mm"</f>
        <v>VHM-Multifunktionswerkzeug - ø 16,0 mm</v>
      </c>
      <c r="D75" s="16">
        <v>20.03</v>
      </c>
    </row>
    <row r="76" spans="1:4" x14ac:dyDescent="0.5">
      <c r="B76" s="14" t="str">
        <f>"44440718"</f>
        <v>44440718</v>
      </c>
      <c r="C76" s="15" t="str">
        <f>"VHM-Multifunktionswerkzeug - ø 18,0 mm"</f>
        <v>VHM-Multifunktionswerkzeug - ø 18,0 mm</v>
      </c>
      <c r="D76" s="16">
        <v>20.03</v>
      </c>
    </row>
    <row r="77" spans="1:4" ht="18.899999999999999" thickBot="1" x14ac:dyDescent="0.55000000000000004">
      <c r="A77" s="17"/>
      <c r="B77" s="18" t="str">
        <f>"44440720"</f>
        <v>44440720</v>
      </c>
      <c r="C77" s="19" t="str">
        <f>"VHM-Multifunktionswerkzeug - ø 20,0 mm"</f>
        <v>VHM-Multifunktionswerkzeug - ø 20,0 mm</v>
      </c>
      <c r="D77" s="20">
        <v>20.03</v>
      </c>
    </row>
    <row r="78" spans="1:4" x14ac:dyDescent="0.5">
      <c r="A78" s="12" t="s">
        <v>7</v>
      </c>
      <c r="B78" s="21" t="str">
        <f>"44440806"</f>
        <v>44440806</v>
      </c>
      <c r="C78" s="22" t="str">
        <f>"VHM-Fräser HPC inkl. Starmax NF -ø 6,0mm"</f>
        <v>VHM-Fräser HPC inkl. Starmax NF -ø 6,0mm</v>
      </c>
      <c r="D78" s="23">
        <v>9.6999999999999993</v>
      </c>
    </row>
    <row r="79" spans="1:4" x14ac:dyDescent="0.5">
      <c r="B79" s="14" t="str">
        <f>"44440808"</f>
        <v>44440808</v>
      </c>
      <c r="C79" s="15" t="str">
        <f>"VHM-Fräser HPC inkl. Starmax NF -ø 8,0mm"</f>
        <v>VHM-Fräser HPC inkl. Starmax NF -ø 8,0mm</v>
      </c>
      <c r="D79" s="16">
        <v>10.26</v>
      </c>
    </row>
    <row r="80" spans="1:4" x14ac:dyDescent="0.5">
      <c r="B80" s="14" t="str">
        <f>"44440810"</f>
        <v>44440810</v>
      </c>
      <c r="C80" s="15" t="str">
        <f>"VHM-Fräser HPC inkl. Starmax NF -ø10,0mm"</f>
        <v>VHM-Fräser HPC inkl. Starmax NF -ø10,0mm</v>
      </c>
      <c r="D80" s="16">
        <v>10.69</v>
      </c>
    </row>
    <row r="81" spans="1:4" x14ac:dyDescent="0.5">
      <c r="B81" s="14" t="str">
        <f>"44440812"</f>
        <v>44440812</v>
      </c>
      <c r="C81" s="15" t="str">
        <f>"VHM-Fräser HPC inkl. Starmax NF -ø12,0mm"</f>
        <v>VHM-Fräser HPC inkl. Starmax NF -ø12,0mm</v>
      </c>
      <c r="D81" s="16">
        <v>11.9</v>
      </c>
    </row>
    <row r="82" spans="1:4" x14ac:dyDescent="0.5">
      <c r="B82" s="14" t="str">
        <f>"44440814"</f>
        <v>44440814</v>
      </c>
      <c r="C82" s="15" t="str">
        <f>"VHM-Fräser HPC inkl. Starmax NF -ø14,0mm"</f>
        <v>VHM-Fräser HPC inkl. Starmax NF -ø14,0mm</v>
      </c>
      <c r="D82" s="16">
        <v>13.36</v>
      </c>
    </row>
    <row r="83" spans="1:4" x14ac:dyDescent="0.5">
      <c r="B83" s="14" t="str">
        <f>"44440816"</f>
        <v>44440816</v>
      </c>
      <c r="C83" s="15" t="str">
        <f>"VHM-Fräser HPC inkl. Starmax NF -ø16,0mm"</f>
        <v>VHM-Fräser HPC inkl. Starmax NF -ø16,0mm</v>
      </c>
      <c r="D83" s="16">
        <v>15.19</v>
      </c>
    </row>
    <row r="84" spans="1:4" x14ac:dyDescent="0.5">
      <c r="B84" s="14" t="str">
        <f>"44440818"</f>
        <v>44440818</v>
      </c>
      <c r="C84" s="15" t="str">
        <f>"VHM-Fräser HPC inkl. Starmax NF -ø18,0mm"</f>
        <v>VHM-Fräser HPC inkl. Starmax NF -ø18,0mm</v>
      </c>
      <c r="D84" s="16">
        <v>15.79</v>
      </c>
    </row>
    <row r="85" spans="1:4" x14ac:dyDescent="0.5">
      <c r="B85" s="14" t="str">
        <f>"44440820"</f>
        <v>44440820</v>
      </c>
      <c r="C85" s="15" t="str">
        <f>"VHM-Fräser HPC inkl. Starmax NF -ø20,0mm"</f>
        <v>VHM-Fräser HPC inkl. Starmax NF -ø20,0mm</v>
      </c>
      <c r="D85" s="16">
        <v>17</v>
      </c>
    </row>
    <row r="86" spans="1:4" ht="18.899999999999999" thickBot="1" x14ac:dyDescent="0.55000000000000004">
      <c r="A86" s="17"/>
      <c r="B86" s="18" t="str">
        <f>"44440825"</f>
        <v>44440825</v>
      </c>
      <c r="C86" s="19" t="str">
        <f>"VHM-Fräser HPC inkl. Starmax NF -ø25,0mm"</f>
        <v>VHM-Fräser HPC inkl. Starmax NF -ø25,0mm</v>
      </c>
      <c r="D86" s="20">
        <v>27.32</v>
      </c>
    </row>
    <row r="87" spans="1:4" x14ac:dyDescent="0.5">
      <c r="A87" s="12" t="s">
        <v>8</v>
      </c>
      <c r="B87" s="21" t="str">
        <f>"44440906"</f>
        <v>44440906</v>
      </c>
      <c r="C87" s="22" t="str">
        <f>"VHM-Fräser HPC mit AP inkl. Starmax NF  -ø 6,0mm"</f>
        <v>VHM-Fräser HPC mit AP inkl. Starmax NF  -ø 6,0mm</v>
      </c>
      <c r="D87" s="23">
        <v>12.11</v>
      </c>
    </row>
    <row r="88" spans="1:4" x14ac:dyDescent="0.5">
      <c r="B88" s="14" t="str">
        <f>"44440908"</f>
        <v>44440908</v>
      </c>
      <c r="C88" s="15" t="str">
        <f>"VHM-Fräser HPC mit AP inkl. Starmax NF  -ø 8,0mm"</f>
        <v>VHM-Fräser HPC mit AP inkl. Starmax NF  -ø 8,0mm</v>
      </c>
      <c r="D88" s="16">
        <v>12.69</v>
      </c>
    </row>
    <row r="89" spans="1:4" x14ac:dyDescent="0.5">
      <c r="B89" s="14" t="str">
        <f>"44440910"</f>
        <v>44440910</v>
      </c>
      <c r="C89" s="15" t="str">
        <f>"VHM-Fräser HPC mit AP inkl. Starmax NF  -ø 10,0mm"</f>
        <v>VHM-Fräser HPC mit AP inkl. Starmax NF  -ø 10,0mm</v>
      </c>
      <c r="D89" s="16">
        <v>14.32</v>
      </c>
    </row>
    <row r="90" spans="1:4" x14ac:dyDescent="0.5">
      <c r="B90" s="14" t="str">
        <f>"44440912"</f>
        <v>44440912</v>
      </c>
      <c r="C90" s="15" t="str">
        <f>"VHM-Fräser HPC mit AP inkl. Starmax NF  -ø 12,0mm"</f>
        <v>VHM-Fräser HPC mit AP inkl. Starmax NF  -ø 12,0mm</v>
      </c>
      <c r="D90" s="16">
        <v>16.16</v>
      </c>
    </row>
    <row r="91" spans="1:4" x14ac:dyDescent="0.5">
      <c r="B91" s="14" t="str">
        <f>"44440914"</f>
        <v>44440914</v>
      </c>
      <c r="C91" s="15" t="str">
        <f>"VHM-Fräser HPC mit AP inkl. Starmax NF  -ø 14,0mm"</f>
        <v>VHM-Fräser HPC mit AP inkl. Starmax NF  -ø 14,0mm</v>
      </c>
      <c r="D91" s="16">
        <v>18.09</v>
      </c>
    </row>
    <row r="92" spans="1:4" x14ac:dyDescent="0.5">
      <c r="B92" s="14" t="str">
        <f>"44440916"</f>
        <v>44440916</v>
      </c>
      <c r="C92" s="15" t="str">
        <f>"VHM-Fräser HPC mit AP inkl. Starmax NF -ø 16,0mm"</f>
        <v>VHM-Fräser HPC mit AP inkl. Starmax NF -ø 16,0mm</v>
      </c>
      <c r="D92" s="16">
        <v>20.04</v>
      </c>
    </row>
    <row r="93" spans="1:4" x14ac:dyDescent="0.5">
      <c r="B93" s="14" t="str">
        <f>"44440918"</f>
        <v>44440918</v>
      </c>
      <c r="C93" s="15" t="str">
        <f>"VHM-Fräser HPC mit AP inkl. Starmax NF  -ø 18,0mm"</f>
        <v>VHM-Fräser HPC mit AP inkl. Starmax NF  -ø 18,0mm</v>
      </c>
      <c r="D93" s="16">
        <v>20.65</v>
      </c>
    </row>
    <row r="94" spans="1:4" x14ac:dyDescent="0.5">
      <c r="B94" s="14" t="str">
        <f>"44440920"</f>
        <v>44440920</v>
      </c>
      <c r="C94" s="15" t="str">
        <f>"VHM-Fräser HPC mit AP inkl. Starmax NF  -ø 20,0mm"</f>
        <v>VHM-Fräser HPC mit AP inkl. Starmax NF  -ø 20,0mm</v>
      </c>
      <c r="D94" s="16">
        <v>23.07</v>
      </c>
    </row>
    <row r="95" spans="1:4" ht="18.899999999999999" thickBot="1" x14ac:dyDescent="0.55000000000000004">
      <c r="A95" s="17"/>
      <c r="B95" s="18" t="str">
        <f>"44440925"</f>
        <v>44440925</v>
      </c>
      <c r="C95" s="19" t="str">
        <f>"VHM-Fräser HPC mit AP inkl. Starmax NF  -ø 25,0mm"</f>
        <v>VHM-Fräser HPC mit AP inkl. Starmax NF  -ø 25,0mm</v>
      </c>
      <c r="D95" s="20">
        <v>36.31</v>
      </c>
    </row>
    <row r="96" spans="1:4" x14ac:dyDescent="0.5">
      <c r="A96" s="12" t="s">
        <v>9</v>
      </c>
      <c r="B96" s="21" t="str">
        <f>"44441006"</f>
        <v>44441006</v>
      </c>
      <c r="C96" s="22" t="str">
        <f>"VHM-Fräser HPC mit ER - ø 6,0 mm"</f>
        <v>VHM-Fräser HPC mit ER - ø 6,0 mm</v>
      </c>
      <c r="D96" s="23">
        <v>14.55</v>
      </c>
    </row>
    <row r="97" spans="1:4" x14ac:dyDescent="0.5">
      <c r="B97" s="14" t="str">
        <f>"44441008"</f>
        <v>44441008</v>
      </c>
      <c r="C97" s="15" t="str">
        <f>"VHM-Fräser HPC mit ER - ø 8,0 mm"</f>
        <v>VHM-Fräser HPC mit ER - ø 8,0 mm</v>
      </c>
      <c r="D97" s="16">
        <v>15.43</v>
      </c>
    </row>
    <row r="98" spans="1:4" x14ac:dyDescent="0.5">
      <c r="B98" s="14" t="str">
        <f>"44441010"</f>
        <v>44441010</v>
      </c>
      <c r="C98" s="15" t="str">
        <f>"VHM-Fräser HPC mit ER - ø 10,0 mm"</f>
        <v>VHM-Fräser HPC mit ER - ø 10,0 mm</v>
      </c>
      <c r="D98" s="16">
        <v>16.04</v>
      </c>
    </row>
    <row r="99" spans="1:4" x14ac:dyDescent="0.5">
      <c r="B99" s="14" t="str">
        <f>"44441012"</f>
        <v>44441012</v>
      </c>
      <c r="C99" s="15" t="str">
        <f>"VHM-Fräser HPC mit ER - ø 12,0 mm"</f>
        <v>VHM-Fräser HPC mit ER - ø 12,0 mm</v>
      </c>
      <c r="D99" s="16">
        <v>17.850000000000001</v>
      </c>
    </row>
    <row r="100" spans="1:4" x14ac:dyDescent="0.5">
      <c r="B100" s="14" t="str">
        <f>"44441014"</f>
        <v>44441014</v>
      </c>
      <c r="C100" s="15" t="str">
        <f>"VHM-Fräser HPC mit ER - ø 14,0 mm"</f>
        <v>VHM-Fräser HPC mit ER - ø 14,0 mm</v>
      </c>
      <c r="D100" s="16">
        <v>20.03</v>
      </c>
    </row>
    <row r="101" spans="1:4" x14ac:dyDescent="0.5">
      <c r="B101" s="14" t="str">
        <f>"44441016"</f>
        <v>44441016</v>
      </c>
      <c r="C101" s="15" t="str">
        <f>"VHM-Fräser HPC mit ER - ø 16,0 mm"</f>
        <v>VHM-Fräser HPC mit ER - ø 16,0 mm</v>
      </c>
      <c r="D101" s="16">
        <v>22.77</v>
      </c>
    </row>
    <row r="102" spans="1:4" x14ac:dyDescent="0.5">
      <c r="B102" s="14" t="str">
        <f>"44441018"</f>
        <v>44441018</v>
      </c>
      <c r="C102" s="15" t="str">
        <f>"VHM-Fräser HPC mit ER - ø 18,0 mm"</f>
        <v>VHM-Fräser HPC mit ER - ø 18,0 mm</v>
      </c>
      <c r="D102" s="16">
        <v>23.69</v>
      </c>
    </row>
    <row r="103" spans="1:4" x14ac:dyDescent="0.5">
      <c r="B103" s="14" t="str">
        <f>"44441020"</f>
        <v>44441020</v>
      </c>
      <c r="C103" s="15" t="str">
        <f>"VHM-Fräser HPC mit ER - ø 20,0 mm"</f>
        <v>VHM-Fräser HPC mit ER - ø 20,0 mm</v>
      </c>
      <c r="D103" s="16">
        <v>25.51</v>
      </c>
    </row>
    <row r="104" spans="1:4" ht="18.899999999999999" thickBot="1" x14ac:dyDescent="0.55000000000000004">
      <c r="A104" s="17"/>
      <c r="B104" s="18" t="str">
        <f>"44441025"</f>
        <v>44441025</v>
      </c>
      <c r="C104" s="19" t="str">
        <f>"VHM-Fräser HPC mit ER - ø 25,0 mm"</f>
        <v>VHM-Fräser HPC mit ER - ø 25,0 mm</v>
      </c>
      <c r="D104" s="20">
        <v>40.99</v>
      </c>
    </row>
    <row r="105" spans="1:4" x14ac:dyDescent="0.5">
      <c r="A105" s="12" t="s">
        <v>10</v>
      </c>
      <c r="B105" s="21" t="str">
        <f>"44441106"</f>
        <v>44441106</v>
      </c>
      <c r="C105" s="22" t="str">
        <f>"VHM-Fräser HPC Überlang - ø 6,0 mm"</f>
        <v>VHM-Fräser HPC Überlang - ø 6,0 mm</v>
      </c>
      <c r="D105" s="23">
        <v>12.62</v>
      </c>
    </row>
    <row r="106" spans="1:4" x14ac:dyDescent="0.5">
      <c r="B106" s="14" t="str">
        <f>"44441108"</f>
        <v>44441108</v>
      </c>
      <c r="C106" s="15" t="str">
        <f>"VHM-Fräser HPC Überlang - ø 8,0 mm"</f>
        <v>VHM-Fräser HPC Überlang - ø 8,0 mm</v>
      </c>
      <c r="D106" s="16">
        <v>13.3</v>
      </c>
    </row>
    <row r="107" spans="1:4" x14ac:dyDescent="0.5">
      <c r="B107" s="14" t="str">
        <f>"44441110"</f>
        <v>44441110</v>
      </c>
      <c r="C107" s="15" t="str">
        <f>"VHM-Fräser HPC Überlang - ø 10,0 mm"</f>
        <v>VHM-Fräser HPC Überlang - ø 10,0 mm</v>
      </c>
      <c r="D107" s="16">
        <v>13.91</v>
      </c>
    </row>
    <row r="108" spans="1:4" x14ac:dyDescent="0.5">
      <c r="B108" s="14" t="str">
        <f>"44441112"</f>
        <v>44441112</v>
      </c>
      <c r="C108" s="15" t="str">
        <f>"VHM-Fräser HPC Überlang - ø 12,0 mm"</f>
        <v>VHM-Fräser HPC Überlang - ø 12,0 mm</v>
      </c>
      <c r="D108" s="16">
        <v>15.48</v>
      </c>
    </row>
    <row r="109" spans="1:4" x14ac:dyDescent="0.5">
      <c r="B109" s="14" t="str">
        <f>"44441114"</f>
        <v>44441114</v>
      </c>
      <c r="C109" s="15" t="str">
        <f>"VHM-Fräser HPC Überlang - ø 14,0 mm"</f>
        <v>VHM-Fräser HPC Überlang - ø 14,0 mm</v>
      </c>
      <c r="D109" s="16">
        <v>17.36</v>
      </c>
    </row>
    <row r="110" spans="1:4" x14ac:dyDescent="0.5">
      <c r="B110" s="14" t="str">
        <f>"44441116"</f>
        <v>44441116</v>
      </c>
      <c r="C110" s="15" t="str">
        <f>"VHM-Fräser HPC Überlang - ø 16,0 mm"</f>
        <v>VHM-Fräser HPC Überlang - ø 16,0 mm</v>
      </c>
      <c r="D110" s="16">
        <v>19.739999999999998</v>
      </c>
    </row>
    <row r="111" spans="1:4" x14ac:dyDescent="0.5">
      <c r="B111" s="14" t="str">
        <f>"44441118"</f>
        <v>44441118</v>
      </c>
      <c r="C111" s="15" t="str">
        <f>"VHM-Fräser HPC Überlang - ø 18,0 mm"</f>
        <v>VHM-Fräser HPC Überlang - ø 18,0 mm</v>
      </c>
      <c r="D111" s="16">
        <v>20.52</v>
      </c>
    </row>
    <row r="112" spans="1:4" x14ac:dyDescent="0.5">
      <c r="B112" s="14" t="str">
        <f>"44441120"</f>
        <v>44441120</v>
      </c>
      <c r="C112" s="15" t="str">
        <f>"VHM-Fräser HPC Überlang - ø 20,0 mm"</f>
        <v>VHM-Fräser HPC Überlang - ø 20,0 mm</v>
      </c>
      <c r="D112" s="16">
        <v>22.11</v>
      </c>
    </row>
    <row r="113" spans="1:4" ht="18.899999999999999" thickBot="1" x14ac:dyDescent="0.55000000000000004">
      <c r="A113" s="17"/>
      <c r="B113" s="18" t="str">
        <f>"44441125"</f>
        <v>44441125</v>
      </c>
      <c r="C113" s="19" t="str">
        <f>"VHM-Fräser HPC Überlang - ø 25,0 mm"</f>
        <v>VHM-Fräser HPC Überlang - ø 25,0 mm</v>
      </c>
      <c r="D113" s="20">
        <v>35.520000000000003</v>
      </c>
    </row>
    <row r="114" spans="1:4" x14ac:dyDescent="0.5">
      <c r="A114" s="12" t="s">
        <v>11</v>
      </c>
      <c r="B114" s="21" t="str">
        <f>"44441206"</f>
        <v>44441206</v>
      </c>
      <c r="C114" s="22" t="str">
        <f>"VHM-Fräser HPC  6 Zähne - ø 6,0 mm"</f>
        <v>VHM-Fräser HPC  6 Zähne - ø 6,0 mm</v>
      </c>
      <c r="D114" s="23">
        <v>12.62</v>
      </c>
    </row>
    <row r="115" spans="1:4" x14ac:dyDescent="0.5">
      <c r="B115" s="14" t="str">
        <f>"44441208"</f>
        <v>44441208</v>
      </c>
      <c r="C115" s="15" t="str">
        <f>"VHM-Fräser HPC  6 Zähne - ø 8,0 mm"</f>
        <v>VHM-Fräser HPC  6 Zähne - ø 8,0 mm</v>
      </c>
      <c r="D115" s="16">
        <v>13.3</v>
      </c>
    </row>
    <row r="116" spans="1:4" x14ac:dyDescent="0.5">
      <c r="B116" s="14" t="str">
        <f>"44441210"</f>
        <v>44441210</v>
      </c>
      <c r="C116" s="15" t="str">
        <f>"VHM-Fräser HPC  6 Zähne - ø 10,0 mm"</f>
        <v>VHM-Fräser HPC  6 Zähne - ø 10,0 mm</v>
      </c>
      <c r="D116" s="16">
        <v>13.91</v>
      </c>
    </row>
    <row r="117" spans="1:4" x14ac:dyDescent="0.5">
      <c r="B117" s="14" t="str">
        <f>"44441212"</f>
        <v>44441212</v>
      </c>
      <c r="C117" s="15" t="str">
        <f>"VHM-Fräser HPC  6 Zähne - ø 12,0 mm"</f>
        <v>VHM-Fräser HPC  6 Zähne - ø 12,0 mm</v>
      </c>
      <c r="D117" s="16">
        <v>15.48</v>
      </c>
    </row>
    <row r="118" spans="1:4" x14ac:dyDescent="0.5">
      <c r="B118" s="14" t="str">
        <f>"44441214"</f>
        <v>44441214</v>
      </c>
      <c r="C118" s="15" t="str">
        <f>"VHM-Fräser HPC  6 Zähne - ø 14,0 mm"</f>
        <v>VHM-Fräser HPC  6 Zähne - ø 14,0 mm</v>
      </c>
      <c r="D118" s="16">
        <v>17.36</v>
      </c>
    </row>
    <row r="119" spans="1:4" x14ac:dyDescent="0.5">
      <c r="B119" s="14" t="str">
        <f>"44441216"</f>
        <v>44441216</v>
      </c>
      <c r="C119" s="15" t="str">
        <f>"VHM-Fräser HPC  6 Zähne - ø 16,0 mm"</f>
        <v>VHM-Fräser HPC  6 Zähne - ø 16,0 mm</v>
      </c>
      <c r="D119" s="16">
        <v>19.739999999999998</v>
      </c>
    </row>
    <row r="120" spans="1:4" x14ac:dyDescent="0.5">
      <c r="B120" s="14" t="str">
        <f>"44441218"</f>
        <v>44441218</v>
      </c>
      <c r="C120" s="15" t="str">
        <f>"VHM-Fräser HPC  6 Zähne - ø 18,0 mm"</f>
        <v>VHM-Fräser HPC  6 Zähne - ø 18,0 mm</v>
      </c>
      <c r="D120" s="16">
        <v>20.52</v>
      </c>
    </row>
    <row r="121" spans="1:4" x14ac:dyDescent="0.5">
      <c r="B121" s="14" t="str">
        <f>"44441220"</f>
        <v>44441220</v>
      </c>
      <c r="C121" s="15" t="str">
        <f>"VHM-Fräser HPC  6 Zähne - ø 20,0 mm"</f>
        <v>VHM-Fräser HPC  6 Zähne - ø 20,0 mm</v>
      </c>
      <c r="D121" s="16">
        <v>22.11</v>
      </c>
    </row>
    <row r="122" spans="1:4" ht="18.899999999999999" thickBot="1" x14ac:dyDescent="0.55000000000000004">
      <c r="A122" s="17"/>
      <c r="B122" s="18" t="str">
        <f>"44441225"</f>
        <v>44441225</v>
      </c>
      <c r="C122" s="19" t="str">
        <f>"VHM-Fräser HPC  6 Zähne - ø 25,0 mm"</f>
        <v>VHM-Fräser HPC  6 Zähne - ø 25,0 mm</v>
      </c>
      <c r="D122" s="20">
        <v>35.520000000000003</v>
      </c>
    </row>
    <row r="123" spans="1:4" x14ac:dyDescent="0.5">
      <c r="A123" s="12" t="s">
        <v>12</v>
      </c>
      <c r="B123" s="21" t="str">
        <f>"44441306"</f>
        <v>44441306</v>
      </c>
      <c r="C123" s="22" t="str">
        <f>"VHM-Fräser HPC Art.244.../247... -ø6,0"</f>
        <v>VHM-Fräser HPC Art.244.../247... -ø6,0</v>
      </c>
      <c r="D123" s="23">
        <v>14.45</v>
      </c>
    </row>
    <row r="124" spans="1:4" x14ac:dyDescent="0.5">
      <c r="B124" s="14" t="str">
        <f>"44441308"</f>
        <v>44441308</v>
      </c>
      <c r="C124" s="15" t="str">
        <f>"VHM-Fräser HPC Art.244.../247... -ø8,0"</f>
        <v>VHM-Fräser HPC Art.244.../247... -ø8,0</v>
      </c>
      <c r="D124" s="16">
        <v>15.31</v>
      </c>
    </row>
    <row r="125" spans="1:4" x14ac:dyDescent="0.5">
      <c r="B125" s="14" t="str">
        <f>"44441310"</f>
        <v>44441310</v>
      </c>
      <c r="C125" s="15" t="str">
        <f>"VHM-Fräser HPC Art.244.../247... -ø10,0"</f>
        <v>VHM-Fräser HPC Art.244.../247... -ø10,0</v>
      </c>
      <c r="D125" s="16">
        <v>17.239999999999998</v>
      </c>
    </row>
    <row r="126" spans="1:4" x14ac:dyDescent="0.5">
      <c r="B126" s="14" t="str">
        <f>"44441312"</f>
        <v>44441312</v>
      </c>
      <c r="C126" s="15" t="str">
        <f>"VHM-Fräser HPC Art.244.../247... -ø12,0"</f>
        <v>VHM-Fräser HPC Art.244.../247... -ø12,0</v>
      </c>
      <c r="D126" s="16">
        <v>19.309999999999999</v>
      </c>
    </row>
    <row r="127" spans="1:4" x14ac:dyDescent="0.5">
      <c r="B127" s="14" t="str">
        <f>"44441314"</f>
        <v>44441314</v>
      </c>
      <c r="C127" s="15" t="str">
        <f>"VHM-Fräser HPC Art.244.../247... -ø14,0"</f>
        <v>VHM-Fräser HPC Art.244.../247... -ø14,0</v>
      </c>
      <c r="D127" s="16">
        <v>21.73</v>
      </c>
    </row>
    <row r="128" spans="1:4" x14ac:dyDescent="0.5">
      <c r="B128" s="14" t="str">
        <f>"44441316"</f>
        <v>44441316</v>
      </c>
      <c r="C128" s="15" t="str">
        <f>"VHM-Fräser HPC Art.244.../247... -ø16,0"</f>
        <v>VHM-Fräser HPC Art.244.../247... -ø16,0</v>
      </c>
      <c r="D128" s="16">
        <v>24.04</v>
      </c>
    </row>
    <row r="129" spans="1:4" x14ac:dyDescent="0.5">
      <c r="B129" s="14" t="str">
        <f>"44441318"</f>
        <v>44441318</v>
      </c>
      <c r="C129" s="15" t="str">
        <f>"VHM-Fräser HPC Art.244.../247... -ø18,0"</f>
        <v>VHM-Fräser HPC Art.244.../247... -ø18,0</v>
      </c>
      <c r="D129" s="16">
        <v>24.9</v>
      </c>
    </row>
    <row r="130" spans="1:4" x14ac:dyDescent="0.5">
      <c r="B130" s="14" t="str">
        <f>"44441320"</f>
        <v>44441320</v>
      </c>
      <c r="C130" s="15" t="str">
        <f>"VHM-Fräser HPC Art.244.../247... -ø20,0"</f>
        <v>VHM-Fräser HPC Art.244.../247... -ø20,0</v>
      </c>
      <c r="D130" s="16">
        <v>30</v>
      </c>
    </row>
    <row r="131" spans="1:4" ht="18.899999999999999" thickBot="1" x14ac:dyDescent="0.55000000000000004">
      <c r="A131" s="17"/>
      <c r="B131" s="18" t="str">
        <f>"44441325"</f>
        <v>44441325</v>
      </c>
      <c r="C131" s="19" t="str">
        <f>"VHM-Fräser HPC Art.244.../247... -ø25,0"</f>
        <v>VHM-Fräser HPC Art.244.../247... -ø25,0</v>
      </c>
      <c r="D131" s="20">
        <v>45.9</v>
      </c>
    </row>
    <row r="132" spans="1:4" x14ac:dyDescent="0.5">
      <c r="A132" s="12" t="s">
        <v>13</v>
      </c>
      <c r="B132" s="21" t="str">
        <f>"44441406"</f>
        <v>44441406</v>
      </c>
      <c r="C132" s="22" t="str">
        <f>"VHM-Fräser HPC Art.414… - ø 6,0mm"</f>
        <v>VHM-Fräser HPC Art.414… - ø 6,0mm</v>
      </c>
      <c r="D132" s="23">
        <v>17.91</v>
      </c>
    </row>
    <row r="133" spans="1:4" x14ac:dyDescent="0.5">
      <c r="B133" s="14" t="str">
        <f>"44441408"</f>
        <v>44441408</v>
      </c>
      <c r="C133" s="15" t="str">
        <f>"VHM-Fräser HPC Art.414… - ø 8,0mm"</f>
        <v>VHM-Fräser HPC Art.414… - ø 8,0mm</v>
      </c>
      <c r="D133" s="16">
        <v>22.46</v>
      </c>
    </row>
    <row r="134" spans="1:4" x14ac:dyDescent="0.5">
      <c r="B134" s="14" t="str">
        <f>"44441410"</f>
        <v>44441410</v>
      </c>
      <c r="C134" s="15" t="str">
        <f>"VHM-Fräser HPC Art.414… - ø 10,0mm"</f>
        <v>VHM-Fräser HPC Art.414… - ø 10,0mm</v>
      </c>
      <c r="D134" s="16">
        <v>24.23</v>
      </c>
    </row>
    <row r="135" spans="1:4" x14ac:dyDescent="0.5">
      <c r="B135" s="14" t="str">
        <f>"44441412"</f>
        <v>44441412</v>
      </c>
      <c r="C135" s="15" t="str">
        <f>"VHM-Fräser HPC Art.414… - ø 12,0mm"</f>
        <v>VHM-Fräser HPC Art.414… - ø 12,0mm</v>
      </c>
      <c r="D135" s="16">
        <v>27.82</v>
      </c>
    </row>
    <row r="136" spans="1:4" x14ac:dyDescent="0.5">
      <c r="B136" s="14" t="str">
        <f>"44441414"</f>
        <v>44441414</v>
      </c>
      <c r="C136" s="15" t="str">
        <f>"VHM-Fräser HPC Art.414… - ø 14,0mm"</f>
        <v>VHM-Fräser HPC Art.414… - ø 14,0mm</v>
      </c>
      <c r="D136" s="16">
        <v>28.54</v>
      </c>
    </row>
    <row r="137" spans="1:4" x14ac:dyDescent="0.5">
      <c r="B137" s="14" t="str">
        <f>"44441416"</f>
        <v>44441416</v>
      </c>
      <c r="C137" s="15" t="str">
        <f>"VHM-Fräser HPC Art.414… - ø 16,0mm"</f>
        <v>VHM-Fräser HPC Art.414… - ø 16,0mm</v>
      </c>
      <c r="D137" s="16">
        <v>30.36</v>
      </c>
    </row>
    <row r="138" spans="1:4" x14ac:dyDescent="0.5">
      <c r="B138" s="14" t="str">
        <f>"44441418"</f>
        <v>44441418</v>
      </c>
      <c r="C138" s="15" t="str">
        <f>"VHM-Fräser HPC Art.414… - ø 18,0mm"</f>
        <v>VHM-Fräser HPC Art.414… - ø 18,0mm</v>
      </c>
      <c r="D138" s="16">
        <v>32.19</v>
      </c>
    </row>
    <row r="139" spans="1:4" x14ac:dyDescent="0.5">
      <c r="B139" s="14" t="str">
        <f>"44441420"</f>
        <v>44441420</v>
      </c>
      <c r="C139" s="15" t="str">
        <f>"VHM-Fräser HPC Art.414… - ø 20,0mm"</f>
        <v>VHM-Fräser HPC Art.414… - ø 20,0mm</v>
      </c>
      <c r="D139" s="16">
        <v>36.31</v>
      </c>
    </row>
    <row r="140" spans="1:4" ht="18.899999999999999" thickBot="1" x14ac:dyDescent="0.55000000000000004">
      <c r="A140" s="24"/>
      <c r="B140" s="25" t="str">
        <f>"44441425"</f>
        <v>44441425</v>
      </c>
      <c r="C140" s="19" t="str">
        <f>"VHM-Fräser HPC Art.414… - ø 25,0mm"</f>
        <v>VHM-Fräser HPC Art.414… - ø 25,0mm</v>
      </c>
      <c r="D140" s="20">
        <v>48.47</v>
      </c>
    </row>
    <row r="141" spans="1:4" x14ac:dyDescent="0.5">
      <c r="A141" s="12" t="s">
        <v>24</v>
      </c>
      <c r="B141" s="14" t="str">
        <f>"444414006"</f>
        <v>444414006</v>
      </c>
      <c r="C141" s="22" t="str">
        <f>"VHM-Schaftfräser HPC Fightmax INOX - ø 6,0mm"</f>
        <v>VHM-Schaftfräser HPC Fightmax INOX - ø 6,0mm</v>
      </c>
      <c r="D141" s="23">
        <v>17.920000000000002</v>
      </c>
    </row>
    <row r="142" spans="1:4" x14ac:dyDescent="0.5">
      <c r="B142" s="14" t="str">
        <f>"444414008"</f>
        <v>444414008</v>
      </c>
      <c r="C142" s="15" t="str">
        <f>"VHM-Schaftfräser HPC Fightmax INOX - ø 8,0mm"</f>
        <v>VHM-Schaftfräser HPC Fightmax INOX - ø 8,0mm</v>
      </c>
      <c r="D142" s="16">
        <v>22.47</v>
      </c>
    </row>
    <row r="143" spans="1:4" x14ac:dyDescent="0.5">
      <c r="B143" s="14" t="str">
        <f>"444414010"</f>
        <v>444414010</v>
      </c>
      <c r="C143" s="15" t="str">
        <f>"VHM-Schaftfräser HPC Fightmax INOX - ø 10,0mm"</f>
        <v>VHM-Schaftfräser HPC Fightmax INOX - ø 10,0mm</v>
      </c>
      <c r="D143" s="16">
        <v>24.23</v>
      </c>
    </row>
    <row r="144" spans="1:4" x14ac:dyDescent="0.5">
      <c r="B144" s="14" t="str">
        <f>"444414012"</f>
        <v>444414012</v>
      </c>
      <c r="C144" s="15" t="str">
        <f>"VHM-Schaftfräser HPC Fightmax INOX - ø 12,0mm"</f>
        <v>VHM-Schaftfräser HPC Fightmax INOX - ø 12,0mm</v>
      </c>
      <c r="D144" s="16">
        <v>27.82</v>
      </c>
    </row>
    <row r="145" spans="1:4" x14ac:dyDescent="0.5">
      <c r="B145" s="14" t="str">
        <f>"444414014"</f>
        <v>444414014</v>
      </c>
      <c r="C145" s="15" t="str">
        <f>"VHM-Schaftfräser HPC Fightmax INOX - ø 14,0mm"</f>
        <v>VHM-Schaftfräser HPC Fightmax INOX - ø 14,0mm</v>
      </c>
      <c r="D145" s="16">
        <v>28.54</v>
      </c>
    </row>
    <row r="146" spans="1:4" x14ac:dyDescent="0.5">
      <c r="B146" s="14" t="str">
        <f>"444414016"</f>
        <v>444414016</v>
      </c>
      <c r="C146" s="15" t="str">
        <f>"VHM-Schaftfräser HPC Fightmax INOX - ø 16,0mm"</f>
        <v>VHM-Schaftfräser HPC Fightmax INOX - ø 16,0mm</v>
      </c>
      <c r="D146" s="16">
        <v>30.36</v>
      </c>
    </row>
    <row r="147" spans="1:4" x14ac:dyDescent="0.5">
      <c r="B147" s="14" t="str">
        <f>"444414018"</f>
        <v>444414018</v>
      </c>
      <c r="C147" s="15" t="str">
        <f>"VHM-Schaftfräser HPC Fightmax INOX - ø 18,0mm"</f>
        <v>VHM-Schaftfräser HPC Fightmax INOX - ø 18,0mm</v>
      </c>
      <c r="D147" s="16">
        <v>32.200000000000003</v>
      </c>
    </row>
    <row r="148" spans="1:4" x14ac:dyDescent="0.5">
      <c r="B148" s="14" t="str">
        <f>"444414020"</f>
        <v>444414020</v>
      </c>
      <c r="C148" s="15" t="str">
        <f>"VHM-Schaftfräser HPC Fightmax INOX - ø 20,0mm"</f>
        <v>VHM-Schaftfräser HPC Fightmax INOX - ø 20,0mm</v>
      </c>
      <c r="D148" s="16">
        <v>36.31</v>
      </c>
    </row>
    <row r="149" spans="1:4" ht="18.899999999999999" thickBot="1" x14ac:dyDescent="0.55000000000000004">
      <c r="A149" s="24"/>
      <c r="B149" s="18" t="str">
        <f>"444414025"</f>
        <v>444414025</v>
      </c>
      <c r="C149" s="19" t="str">
        <f>"VHM-Schaftfräser HPC Fightmax INOX - ø 25,0mm"</f>
        <v>VHM-Schaftfräser HPC Fightmax INOX - ø 25,0mm</v>
      </c>
      <c r="D149" s="20">
        <v>48.47</v>
      </c>
    </row>
    <row r="150" spans="1:4" x14ac:dyDescent="0.5">
      <c r="A150" s="12" t="s">
        <v>25</v>
      </c>
      <c r="B150" s="21" t="str">
        <f>"444414106"</f>
        <v>444414106</v>
      </c>
      <c r="C150" s="22" t="str">
        <f>"VHM-Schaftfräser HPC Fightmax Stahl - ø 6,0mm"</f>
        <v>VHM-Schaftfräser HPC Fightmax Stahl - ø 6,0mm</v>
      </c>
      <c r="D150" s="23">
        <v>17.920000000000002</v>
      </c>
    </row>
    <row r="151" spans="1:4" x14ac:dyDescent="0.5">
      <c r="B151" s="14" t="str">
        <f>"444414108"</f>
        <v>444414108</v>
      </c>
      <c r="C151" s="15" t="str">
        <f>"VHM-Schaftfräser HPC Fightmax Stahl - ø 8,0mm"</f>
        <v>VHM-Schaftfräser HPC Fightmax Stahl - ø 8,0mm</v>
      </c>
      <c r="D151" s="16">
        <v>22.47</v>
      </c>
    </row>
    <row r="152" spans="1:4" x14ac:dyDescent="0.5">
      <c r="B152" s="14" t="str">
        <f>"444414110"</f>
        <v>444414110</v>
      </c>
      <c r="C152" s="15" t="str">
        <f>"VHM-Schaftfräser HPC Fightmax Stahl - ø 10,0mm"</f>
        <v>VHM-Schaftfräser HPC Fightmax Stahl - ø 10,0mm</v>
      </c>
      <c r="D152" s="16">
        <v>24.23</v>
      </c>
    </row>
    <row r="153" spans="1:4" x14ac:dyDescent="0.5">
      <c r="B153" s="14" t="str">
        <f>"444414112"</f>
        <v>444414112</v>
      </c>
      <c r="C153" s="15" t="str">
        <f>"VHM-Schaftfräser HPC Fightmax Stahl - ø 12,0mm"</f>
        <v>VHM-Schaftfräser HPC Fightmax Stahl - ø 12,0mm</v>
      </c>
      <c r="D153" s="16">
        <v>27.82</v>
      </c>
    </row>
    <row r="154" spans="1:4" x14ac:dyDescent="0.5">
      <c r="B154" s="14" t="str">
        <f>"444414114"</f>
        <v>444414114</v>
      </c>
      <c r="C154" s="15" t="str">
        <f>"VHM-Schaftfräser HPC Fightmax Stahl - ø 14,0mm"</f>
        <v>VHM-Schaftfräser HPC Fightmax Stahl - ø 14,0mm</v>
      </c>
      <c r="D154" s="16">
        <v>28.54</v>
      </c>
    </row>
    <row r="155" spans="1:4" x14ac:dyDescent="0.5">
      <c r="B155" s="14" t="str">
        <f>"444414116"</f>
        <v>444414116</v>
      </c>
      <c r="C155" s="15" t="str">
        <f>"VHM-Schaftfräser HPC Fightmax Stahl - ø 16,0mm"</f>
        <v>VHM-Schaftfräser HPC Fightmax Stahl - ø 16,0mm</v>
      </c>
      <c r="D155" s="16">
        <v>30.36</v>
      </c>
    </row>
    <row r="156" spans="1:4" x14ac:dyDescent="0.5">
      <c r="B156" s="14" t="str">
        <f>"444414118"</f>
        <v>444414118</v>
      </c>
      <c r="C156" s="15" t="str">
        <f>"VHM-Schaftfräser HPC Fightmax Stahl - ø 18,0mm"</f>
        <v>VHM-Schaftfräser HPC Fightmax Stahl - ø 18,0mm</v>
      </c>
      <c r="D156" s="16">
        <v>32.200000000000003</v>
      </c>
    </row>
    <row r="157" spans="1:4" x14ac:dyDescent="0.5">
      <c r="B157" s="14" t="str">
        <f>"444414120"</f>
        <v>444414120</v>
      </c>
      <c r="C157" s="15" t="str">
        <f>"VHM-Schaftfräser HPC Fightmax Stahl - ø 20,0mm"</f>
        <v>VHM-Schaftfräser HPC Fightmax Stahl - ø 20,0mm</v>
      </c>
      <c r="D157" s="16">
        <v>36.31</v>
      </c>
    </row>
    <row r="158" spans="1:4" ht="18.899999999999999" thickBot="1" x14ac:dyDescent="0.55000000000000004">
      <c r="A158" s="17"/>
      <c r="B158" s="18" t="str">
        <f>"444414125"</f>
        <v>444414125</v>
      </c>
      <c r="C158" s="19" t="str">
        <f>"VHM-Schaftfräser HPC Fightmax Stahl - ø 25,0mm"</f>
        <v>VHM-Schaftfräser HPC Fightmax Stahl - ø 25,0mm</v>
      </c>
      <c r="D158" s="20">
        <v>48.47</v>
      </c>
    </row>
    <row r="159" spans="1:4" x14ac:dyDescent="0.5">
      <c r="A159" s="12" t="s">
        <v>14</v>
      </c>
      <c r="B159" s="21" t="str">
        <f>"44441606"</f>
        <v>44441606</v>
      </c>
      <c r="C159" s="22" t="str">
        <f>"VHM-Fräser Ocean Art.777…  -ø6,0mm"</f>
        <v>VHM-Fräser Ocean Art.777…  -ø6,0mm</v>
      </c>
      <c r="D159" s="23">
        <v>17.91</v>
      </c>
    </row>
    <row r="160" spans="1:4" x14ac:dyDescent="0.5">
      <c r="B160" s="14" t="str">
        <f>"44441608"</f>
        <v>44441608</v>
      </c>
      <c r="C160" s="15" t="str">
        <f>"VHM-Fräser Ocean Art.777…  -ø8,0mm"</f>
        <v>VHM-Fräser Ocean Art.777…  -ø8,0mm</v>
      </c>
      <c r="D160" s="16">
        <v>22.46</v>
      </c>
    </row>
    <row r="161" spans="1:4" x14ac:dyDescent="0.5">
      <c r="B161" s="14" t="str">
        <f>"44441610"</f>
        <v>44441610</v>
      </c>
      <c r="C161" s="15" t="str">
        <f>"VHM-Fräser Ocean Art.777…  -ø10,0mm"</f>
        <v>VHM-Fräser Ocean Art.777…  -ø10,0mm</v>
      </c>
      <c r="D161" s="16">
        <v>24.23</v>
      </c>
    </row>
    <row r="162" spans="1:4" x14ac:dyDescent="0.5">
      <c r="B162" s="14" t="str">
        <f>"44441612"</f>
        <v>44441612</v>
      </c>
      <c r="C162" s="15" t="str">
        <f>"VHM-Fräser Ocean Art.777…  -ø12,0mm"</f>
        <v>VHM-Fräser Ocean Art.777…  -ø12,0mm</v>
      </c>
      <c r="D162" s="16">
        <v>27.82</v>
      </c>
    </row>
    <row r="163" spans="1:4" x14ac:dyDescent="0.5">
      <c r="B163" s="14" t="str">
        <f>"44441614"</f>
        <v>44441614</v>
      </c>
      <c r="C163" s="15" t="str">
        <f>"VHM-Fräser Ocean Art.777…  -ø14,0mm"</f>
        <v>VHM-Fräser Ocean Art.777…  -ø14,0mm</v>
      </c>
      <c r="D163" s="16">
        <v>28.54</v>
      </c>
    </row>
    <row r="164" spans="1:4" x14ac:dyDescent="0.5">
      <c r="B164" s="14" t="str">
        <f>"44441616"</f>
        <v>44441616</v>
      </c>
      <c r="C164" s="15" t="str">
        <f>"VHM-Fräser Ocean Art.777…  -ø16,0mm"</f>
        <v>VHM-Fräser Ocean Art.777…  -ø16,0mm</v>
      </c>
      <c r="D164" s="16">
        <v>30.36</v>
      </c>
    </row>
    <row r="165" spans="1:4" x14ac:dyDescent="0.5">
      <c r="B165" s="14" t="str">
        <f>"44441618"</f>
        <v>44441618</v>
      </c>
      <c r="C165" s="15" t="str">
        <f>"VHM-Fräser Ocean Art.777…  -ø18,0mm"</f>
        <v>VHM-Fräser Ocean Art.777…  -ø18,0mm</v>
      </c>
      <c r="D165" s="16">
        <v>32.19</v>
      </c>
    </row>
    <row r="166" spans="1:4" x14ac:dyDescent="0.5">
      <c r="B166" s="14" t="str">
        <f>"44441620"</f>
        <v>44441620</v>
      </c>
      <c r="C166" s="15" t="str">
        <f>"VHM-Fräser Ocean Art.777…  -ø20,0mm"</f>
        <v>VHM-Fräser Ocean Art.777…  -ø20,0mm</v>
      </c>
      <c r="D166" s="16">
        <v>36.31</v>
      </c>
    </row>
    <row r="167" spans="1:4" ht="18.899999999999999" thickBot="1" x14ac:dyDescent="0.55000000000000004">
      <c r="A167" s="17"/>
      <c r="B167" s="18" t="str">
        <f>"44441625"</f>
        <v>44441625</v>
      </c>
      <c r="C167" s="19" t="str">
        <f>"VHM-Fräser Ocean Art.777…  -ø25,0mm"</f>
        <v>VHM-Fräser Ocean Art.777…  -ø25,0mm</v>
      </c>
      <c r="D167" s="20">
        <v>48.47</v>
      </c>
    </row>
    <row r="168" spans="1:4" x14ac:dyDescent="0.5">
      <c r="A168" s="12" t="s">
        <v>26</v>
      </c>
      <c r="B168" s="21" t="str">
        <f>"44441706"</f>
        <v>44441706</v>
      </c>
      <c r="C168" s="22" t="str">
        <f>"HSS-Schaftfräser bis 4Z - ø 6,0 mm"</f>
        <v>HSS-Schaftfräser bis 4Z - ø 6,0 mm</v>
      </c>
      <c r="D168" s="23">
        <v>5.14</v>
      </c>
    </row>
    <row r="169" spans="1:4" x14ac:dyDescent="0.5">
      <c r="B169" s="14" t="str">
        <f>"44441708"</f>
        <v>44441708</v>
      </c>
      <c r="C169" s="15" t="str">
        <f>"HSS-Schaftfräser bis 4Z - ø 8,0 mm"</f>
        <v>HSS-Schaftfräser bis 4Z - ø 8,0 mm</v>
      </c>
      <c r="D169" s="16">
        <v>5.14</v>
      </c>
    </row>
    <row r="170" spans="1:4" x14ac:dyDescent="0.5">
      <c r="B170" s="14" t="str">
        <f>"44441710"</f>
        <v>44441710</v>
      </c>
      <c r="C170" s="15" t="str">
        <f>"HSS-Schaftfräser bis 4Z - ø 10,0 mm"</f>
        <v>HSS-Schaftfräser bis 4Z - ø 10,0 mm</v>
      </c>
      <c r="D170" s="16">
        <v>5.14</v>
      </c>
    </row>
    <row r="171" spans="1:4" x14ac:dyDescent="0.5">
      <c r="B171" s="14" t="str">
        <f>"44441712"</f>
        <v>44441712</v>
      </c>
      <c r="C171" s="15" t="str">
        <f>"HSS-Schaftfräser bis 4Z - ø 12,0 mm"</f>
        <v>HSS-Schaftfräser bis 4Z - ø 12,0 mm</v>
      </c>
      <c r="D171" s="16">
        <v>7.29</v>
      </c>
    </row>
    <row r="172" spans="1:4" x14ac:dyDescent="0.5">
      <c r="B172" s="14" t="str">
        <f>"44441714"</f>
        <v>44441714</v>
      </c>
      <c r="C172" s="15" t="str">
        <f>"HSS-Schaftfräser bis 4Z - ø 14,0 mm"</f>
        <v>HSS-Schaftfräser bis 4Z - ø 14,0 mm</v>
      </c>
      <c r="D172" s="16">
        <v>7.29</v>
      </c>
    </row>
    <row r="173" spans="1:4" x14ac:dyDescent="0.5">
      <c r="B173" s="14" t="str">
        <f>"44441716"</f>
        <v>44441716</v>
      </c>
      <c r="C173" s="15" t="str">
        <f>"HSS-Schaftfräser bis 4Z - ø 16,0 mm"</f>
        <v>HSS-Schaftfräser bis 4Z - ø 16,0 mm</v>
      </c>
      <c r="D173" s="16">
        <v>9.8800000000000008</v>
      </c>
    </row>
    <row r="174" spans="1:4" x14ac:dyDescent="0.5">
      <c r="B174" s="14" t="str">
        <f>"44441718"</f>
        <v>44441718</v>
      </c>
      <c r="C174" s="15" t="str">
        <f>"HSS-Schaftfräser bis 4Z - ø 18,0 mm"</f>
        <v>HSS-Schaftfräser bis 4Z - ø 18,0 mm</v>
      </c>
      <c r="D174" s="16">
        <v>9.8800000000000008</v>
      </c>
    </row>
    <row r="175" spans="1:4" x14ac:dyDescent="0.5">
      <c r="B175" s="14" t="str">
        <f>"44441720"</f>
        <v>44441720</v>
      </c>
      <c r="C175" s="15" t="str">
        <f>"HSS-Schaftfräser bis 4Z - ø 20,0 mm"</f>
        <v>HSS-Schaftfräser bis 4Z - ø 20,0 mm</v>
      </c>
      <c r="D175" s="16">
        <v>9.8800000000000008</v>
      </c>
    </row>
    <row r="176" spans="1:4" x14ac:dyDescent="0.5">
      <c r="B176" s="14" t="str">
        <f>"44441725"</f>
        <v>44441725</v>
      </c>
      <c r="C176" s="15" t="str">
        <f>"HSS-Schaftfräser bis 4Z - ø 25,0 mm"</f>
        <v>HSS-Schaftfräser bis 4Z - ø 25,0 mm</v>
      </c>
      <c r="D176" s="16">
        <v>14.83</v>
      </c>
    </row>
    <row r="177" spans="1:4" x14ac:dyDescent="0.5">
      <c r="B177" s="14" t="str">
        <f>"44441730"</f>
        <v>44441730</v>
      </c>
      <c r="C177" s="15" t="str">
        <f>"HSS-Schaftfräser bis 4Z - ø 30,0 mm"</f>
        <v>HSS-Schaftfräser bis 4Z - ø 30,0 mm</v>
      </c>
      <c r="D177" s="16">
        <v>14.83</v>
      </c>
    </row>
    <row r="178" spans="1:4" x14ac:dyDescent="0.5">
      <c r="B178" s="14" t="str">
        <f>"44441740"</f>
        <v>44441740</v>
      </c>
      <c r="C178" s="15" t="str">
        <f>"HSS-Schaftfräser bis 4Z - ø 40,0 mm"</f>
        <v>HSS-Schaftfräser bis 4Z - ø 40,0 mm</v>
      </c>
      <c r="D178" s="16">
        <v>22.12</v>
      </c>
    </row>
    <row r="179" spans="1:4" ht="18.899999999999999" thickBot="1" x14ac:dyDescent="0.55000000000000004">
      <c r="A179" s="17"/>
      <c r="B179" s="18" t="str">
        <f>"44441750"</f>
        <v>44441750</v>
      </c>
      <c r="C179" s="19" t="str">
        <f>"HSS-Schaftfräser bis 4Z - ø 50,0 mm"</f>
        <v>HSS-Schaftfräser bis 4Z - ø 50,0 mm</v>
      </c>
      <c r="D179" s="20">
        <v>32.33</v>
      </c>
    </row>
    <row r="180" spans="1:4" x14ac:dyDescent="0.5">
      <c r="A180" s="12" t="s">
        <v>15</v>
      </c>
      <c r="B180" s="21" t="str">
        <f>"44441806"</f>
        <v>44441806</v>
      </c>
      <c r="C180" s="22" t="str">
        <f>"HSS-Schruppfräser - ø 6,0 mm"</f>
        <v>HSS-Schruppfräser - ø 6,0 mm</v>
      </c>
      <c r="D180" s="23">
        <v>5.88</v>
      </c>
    </row>
    <row r="181" spans="1:4" x14ac:dyDescent="0.5">
      <c r="B181" s="14" t="str">
        <f>"44441808"</f>
        <v>44441808</v>
      </c>
      <c r="C181" s="15" t="str">
        <f>"HSS-Schruppfräser - ø 8,0 mm"</f>
        <v>HSS-Schruppfräser - ø 8,0 mm</v>
      </c>
      <c r="D181" s="16">
        <v>5.88</v>
      </c>
    </row>
    <row r="182" spans="1:4" x14ac:dyDescent="0.5">
      <c r="B182" s="14" t="str">
        <f>"44441810"</f>
        <v>44441810</v>
      </c>
      <c r="C182" s="15" t="str">
        <f>"HSS-Schruppfräser - ø 10,0 mm"</f>
        <v>HSS-Schruppfräser - ø 10,0 mm</v>
      </c>
      <c r="D182" s="16">
        <v>5.88</v>
      </c>
    </row>
    <row r="183" spans="1:4" x14ac:dyDescent="0.5">
      <c r="B183" s="14" t="str">
        <f>"44441812"</f>
        <v>44441812</v>
      </c>
      <c r="C183" s="15" t="str">
        <f>"HSS-Schruppfräser - ø 12,0 mm"</f>
        <v>HSS-Schruppfräser - ø 12,0 mm</v>
      </c>
      <c r="D183" s="16">
        <v>8.35</v>
      </c>
    </row>
    <row r="184" spans="1:4" x14ac:dyDescent="0.5">
      <c r="B184" s="14" t="str">
        <f>"44441814"</f>
        <v>44441814</v>
      </c>
      <c r="C184" s="15" t="str">
        <f>"HSS-Schruppfräser - ø 14,0 mm"</f>
        <v>HSS-Schruppfräser - ø 14,0 mm</v>
      </c>
      <c r="D184" s="16">
        <v>8.35</v>
      </c>
    </row>
    <row r="185" spans="1:4" x14ac:dyDescent="0.5">
      <c r="B185" s="14" t="str">
        <f>"44441816"</f>
        <v>44441816</v>
      </c>
      <c r="C185" s="15" t="str">
        <f>"HSS-Schruppfräser - ø 16,0 mm"</f>
        <v>HSS-Schruppfräser - ø 16,0 mm</v>
      </c>
      <c r="D185" s="16">
        <v>11.35</v>
      </c>
    </row>
    <row r="186" spans="1:4" x14ac:dyDescent="0.5">
      <c r="B186" s="14" t="str">
        <f>"44441818"</f>
        <v>44441818</v>
      </c>
      <c r="C186" s="15" t="str">
        <f>"HSS-Schruppfräser - ø 18,0 mm"</f>
        <v>HSS-Schruppfräser - ø 18,0 mm</v>
      </c>
      <c r="D186" s="16">
        <v>11.35</v>
      </c>
    </row>
    <row r="187" spans="1:4" x14ac:dyDescent="0.5">
      <c r="B187" s="14" t="str">
        <f>"44441820"</f>
        <v>44441820</v>
      </c>
      <c r="C187" s="15" t="str">
        <f>"HSS-Schruppfräser - ø 20,0 mm"</f>
        <v>HSS-Schruppfräser - ø 20,0 mm</v>
      </c>
      <c r="D187" s="16">
        <v>11.35</v>
      </c>
    </row>
    <row r="188" spans="1:4" x14ac:dyDescent="0.5">
      <c r="B188" s="14" t="str">
        <f>"44441825"</f>
        <v>44441825</v>
      </c>
      <c r="C188" s="15" t="str">
        <f>"HSS-Schruppfräser - ø 25,0 mm"</f>
        <v>HSS-Schruppfräser - ø 25,0 mm</v>
      </c>
      <c r="D188" s="16">
        <v>17.09</v>
      </c>
    </row>
    <row r="189" spans="1:4" x14ac:dyDescent="0.5">
      <c r="B189" s="14" t="str">
        <f>"44441830"</f>
        <v>44441830</v>
      </c>
      <c r="C189" s="15" t="str">
        <f>"HSS-Schruppfräser - ø 30,0 mm"</f>
        <v>HSS-Schruppfräser - ø 30,0 mm</v>
      </c>
      <c r="D189" s="16">
        <v>17.09</v>
      </c>
    </row>
    <row r="190" spans="1:4" x14ac:dyDescent="0.5">
      <c r="B190" s="14" t="str">
        <f>"44441840"</f>
        <v>44441840</v>
      </c>
      <c r="C190" s="15" t="str">
        <f>"HSS-Schruppfräser - ø 40,0 mm"</f>
        <v>HSS-Schruppfräser - ø 40,0 mm</v>
      </c>
      <c r="D190" s="16">
        <v>25.44</v>
      </c>
    </row>
    <row r="191" spans="1:4" ht="18.899999999999999" thickBot="1" x14ac:dyDescent="0.55000000000000004">
      <c r="A191" s="17"/>
      <c r="B191" s="18" t="str">
        <f>"44441850"</f>
        <v>44441850</v>
      </c>
      <c r="C191" s="19" t="str">
        <f>"HSS-Schruppfräser - ø 50,0 mm"</f>
        <v>HSS-Schruppfräser - ø 50,0 mm</v>
      </c>
      <c r="D191" s="20">
        <v>37.21</v>
      </c>
    </row>
    <row r="192" spans="1:4" x14ac:dyDescent="0.5">
      <c r="A192" s="12" t="s">
        <v>16</v>
      </c>
      <c r="B192" s="21" t="str">
        <f>"44441906"</f>
        <v>44441906</v>
      </c>
      <c r="C192" s="22" t="str">
        <f>"HSS-Radiusfräser - ø 6,0 mm"</f>
        <v>HSS-Radiusfräser - ø 6,0 mm</v>
      </c>
      <c r="D192" s="23">
        <v>9.35</v>
      </c>
    </row>
    <row r="193" spans="1:4" x14ac:dyDescent="0.5">
      <c r="B193" s="14" t="str">
        <f>"44441908"</f>
        <v>44441908</v>
      </c>
      <c r="C193" s="15" t="str">
        <f>"HSS-Radiusfräser - ø 8,0 mm"</f>
        <v>HSS-Radiusfräser - ø 8,0 mm</v>
      </c>
      <c r="D193" s="16">
        <v>9.35</v>
      </c>
    </row>
    <row r="194" spans="1:4" x14ac:dyDescent="0.5">
      <c r="B194" s="14" t="str">
        <f>"44441910"</f>
        <v>44441910</v>
      </c>
      <c r="C194" s="15" t="str">
        <f>"HSS-Radiusfräser - ø 10,0 mm"</f>
        <v>HSS-Radiusfräser - ø 10,0 mm</v>
      </c>
      <c r="D194" s="16">
        <v>9.35</v>
      </c>
    </row>
    <row r="195" spans="1:4" x14ac:dyDescent="0.5">
      <c r="B195" s="14" t="str">
        <f>"44441912"</f>
        <v>44441912</v>
      </c>
      <c r="C195" s="15" t="str">
        <f>"HSS-Radiusfräser - ø 12,0 mm"</f>
        <v>HSS-Radiusfräser - ø 12,0 mm</v>
      </c>
      <c r="D195" s="16">
        <v>13.18</v>
      </c>
    </row>
    <row r="196" spans="1:4" x14ac:dyDescent="0.5">
      <c r="B196" s="14" t="str">
        <f>"44441914"</f>
        <v>44441914</v>
      </c>
      <c r="C196" s="15" t="str">
        <f>"HSS-Radiusfräser - ø 14,0 mm"</f>
        <v>HSS-Radiusfräser - ø 14,0 mm</v>
      </c>
      <c r="D196" s="16">
        <v>13.18</v>
      </c>
    </row>
    <row r="197" spans="1:4" x14ac:dyDescent="0.5">
      <c r="B197" s="14" t="str">
        <f>"44441916"</f>
        <v>44441916</v>
      </c>
      <c r="C197" s="15" t="str">
        <f>"HSS-Radiusfräser - ø 16,0 mm"</f>
        <v>HSS-Radiusfräser - ø 16,0 mm</v>
      </c>
      <c r="D197" s="16">
        <v>17.91</v>
      </c>
    </row>
    <row r="198" spans="1:4" x14ac:dyDescent="0.5">
      <c r="B198" s="14" t="str">
        <f>"44441918"</f>
        <v>44441918</v>
      </c>
      <c r="C198" s="15" t="str">
        <f>"HSS-Radiusfräser - ø 18,0 mm"</f>
        <v>HSS-Radiusfräser - ø 18,0 mm</v>
      </c>
      <c r="D198" s="16">
        <v>17.91</v>
      </c>
    </row>
    <row r="199" spans="1:4" x14ac:dyDescent="0.5">
      <c r="B199" s="14" t="str">
        <f>"44441920"</f>
        <v>44441920</v>
      </c>
      <c r="C199" s="15" t="str">
        <f>"HSS-Radiusfräser - ø 20,0 mm"</f>
        <v>HSS-Radiusfräser - ø 20,0 mm</v>
      </c>
      <c r="D199" s="16">
        <v>17.91</v>
      </c>
    </row>
    <row r="200" spans="1:4" x14ac:dyDescent="0.5">
      <c r="B200" s="14" t="str">
        <f>"44441925"</f>
        <v>44441925</v>
      </c>
      <c r="C200" s="15" t="str">
        <f>"HSS-Radiusfräser - ø 25,0 mm"</f>
        <v>HSS-Radiusfräser - ø 25,0 mm</v>
      </c>
      <c r="D200" s="16">
        <v>26.95</v>
      </c>
    </row>
    <row r="201" spans="1:4" x14ac:dyDescent="0.5">
      <c r="B201" s="14" t="str">
        <f>"44441930"</f>
        <v>44441930</v>
      </c>
      <c r="C201" s="15" t="str">
        <f>"HSS-Radiusfräser - ø 30,0 mm"</f>
        <v>HSS-Radiusfräser - ø 30,0 mm</v>
      </c>
      <c r="D201" s="16">
        <v>26.95</v>
      </c>
    </row>
    <row r="202" spans="1:4" x14ac:dyDescent="0.5">
      <c r="B202" s="14" t="str">
        <f>"44441940"</f>
        <v>44441940</v>
      </c>
      <c r="C202" s="15" t="str">
        <f>"HSS-Radiusfräser - ø 40,0 mm"</f>
        <v>HSS-Radiusfräser - ø 40,0 mm</v>
      </c>
      <c r="D202" s="16">
        <v>40.130000000000003</v>
      </c>
    </row>
    <row r="203" spans="1:4" ht="18.899999999999999" thickBot="1" x14ac:dyDescent="0.55000000000000004">
      <c r="A203" s="17"/>
      <c r="B203" s="18" t="str">
        <f>"44441950"</f>
        <v>44441950</v>
      </c>
      <c r="C203" s="19" t="str">
        <f>"HSS-Radiusfräser - ø 50,0 mm"</f>
        <v>HSS-Radiusfräser - ø 50,0 mm</v>
      </c>
      <c r="D203" s="20">
        <v>58.71</v>
      </c>
    </row>
    <row r="204" spans="1:4" x14ac:dyDescent="0.5">
      <c r="A204" s="12" t="s">
        <v>17</v>
      </c>
      <c r="B204" s="21" t="str">
        <f>"44442006"</f>
        <v>44442006</v>
      </c>
      <c r="C204" s="22" t="str">
        <f>"HSS-Schaftfräser Überlang bis 4Z -ø6,0"</f>
        <v>HSS-Schaftfräser Überlang bis 4Z -ø6,0</v>
      </c>
      <c r="D204" s="23">
        <v>6.67</v>
      </c>
    </row>
    <row r="205" spans="1:4" x14ac:dyDescent="0.5">
      <c r="B205" s="14" t="str">
        <f>"44442008"</f>
        <v>44442008</v>
      </c>
      <c r="C205" s="15" t="str">
        <f>"HSS-Schaftfräser Überlang bis 4Z -ø8,0"</f>
        <v>HSS-Schaftfräser Überlang bis 4Z -ø8,0</v>
      </c>
      <c r="D205" s="16">
        <v>6.67</v>
      </c>
    </row>
    <row r="206" spans="1:4" x14ac:dyDescent="0.5">
      <c r="B206" s="14" t="str">
        <f>"44442010"</f>
        <v>44442010</v>
      </c>
      <c r="C206" s="15" t="str">
        <f>"HSS-Schaftfräser Überlang bis 4Z -ø10,0"</f>
        <v>HSS-Schaftfräser Überlang bis 4Z -ø10,0</v>
      </c>
      <c r="D206" s="16">
        <v>6.67</v>
      </c>
    </row>
    <row r="207" spans="1:4" x14ac:dyDescent="0.5">
      <c r="B207" s="14" t="str">
        <f>"44442012"</f>
        <v>44442012</v>
      </c>
      <c r="C207" s="15" t="str">
        <f>"HSS-Schaftfräser Überlang bis 4Z -ø12,0"</f>
        <v>HSS-Schaftfräser Überlang bis 4Z -ø12,0</v>
      </c>
      <c r="D207" s="16">
        <v>9.48</v>
      </c>
    </row>
    <row r="208" spans="1:4" x14ac:dyDescent="0.5">
      <c r="B208" s="14" t="str">
        <f>"44442014"</f>
        <v>44442014</v>
      </c>
      <c r="C208" s="15" t="str">
        <f>"HSS-Schaftfräser Überlang bis 4Z -ø14,0"</f>
        <v>HSS-Schaftfräser Überlang bis 4Z -ø14,0</v>
      </c>
      <c r="D208" s="16">
        <v>9.48</v>
      </c>
    </row>
    <row r="209" spans="1:4" x14ac:dyDescent="0.5">
      <c r="B209" s="14" t="str">
        <f>"44442016"</f>
        <v>44442016</v>
      </c>
      <c r="C209" s="15" t="str">
        <f>"HSS-Schaftfräser Überlang bis 4Z -ø16,0"</f>
        <v>HSS-Schaftfräser Überlang bis 4Z -ø16,0</v>
      </c>
      <c r="D209" s="16">
        <v>12.82</v>
      </c>
    </row>
    <row r="210" spans="1:4" x14ac:dyDescent="0.5">
      <c r="B210" s="14" t="str">
        <f>"44442018"</f>
        <v>44442018</v>
      </c>
      <c r="C210" s="15" t="str">
        <f>"HSS-Schaftfräser Überlang bis 4Z -ø18,0"</f>
        <v>HSS-Schaftfräser Überlang bis 4Z -ø18,0</v>
      </c>
      <c r="D210" s="16">
        <v>12.82</v>
      </c>
    </row>
    <row r="211" spans="1:4" x14ac:dyDescent="0.5">
      <c r="B211" s="14" t="str">
        <f>"44442020"</f>
        <v>44442020</v>
      </c>
      <c r="C211" s="15" t="str">
        <f>"HSS-Schaftfräser Überlang bis 4Z -ø20,0"</f>
        <v>HSS-Schaftfräser Überlang bis 4Z -ø20,0</v>
      </c>
      <c r="D211" s="16">
        <v>12.82</v>
      </c>
    </row>
    <row r="212" spans="1:4" x14ac:dyDescent="0.5">
      <c r="B212" s="14" t="str">
        <f>"44442025"</f>
        <v>44442025</v>
      </c>
      <c r="C212" s="15" t="str">
        <f>"HSS-Schaftfräser Überlang bis 4Z -ø25,0"</f>
        <v>HSS-Schaftfräser Überlang bis 4Z -ø25,0</v>
      </c>
      <c r="D212" s="16">
        <v>19.309999999999999</v>
      </c>
    </row>
    <row r="213" spans="1:4" x14ac:dyDescent="0.5">
      <c r="B213" s="14" t="str">
        <f>"44442030"</f>
        <v>44442030</v>
      </c>
      <c r="C213" s="15" t="str">
        <f>"HSS-Schaftfräser Überlang bis 4Z -ø30,0"</f>
        <v>HSS-Schaftfräser Überlang bis 4Z -ø30,0</v>
      </c>
      <c r="D213" s="16">
        <v>19.309999999999999</v>
      </c>
    </row>
    <row r="214" spans="1:4" x14ac:dyDescent="0.5">
      <c r="B214" s="14" t="str">
        <f>"44442040"</f>
        <v>44442040</v>
      </c>
      <c r="C214" s="15" t="str">
        <f>"HSS-Schaftfräser Überlang bis 4Z -ø40,0"</f>
        <v>HSS-Schaftfräser Überlang bis 4Z -ø40,0</v>
      </c>
      <c r="D214" s="16">
        <v>28.72</v>
      </c>
    </row>
    <row r="215" spans="1:4" ht="18.899999999999999" thickBot="1" x14ac:dyDescent="0.55000000000000004">
      <c r="A215" s="17"/>
      <c r="B215" s="18" t="str">
        <f>"44442050"</f>
        <v>44442050</v>
      </c>
      <c r="C215" s="19" t="str">
        <f>"HSS-Schaftfräser Überlang bis 4Z- ø50,0 "</f>
        <v xml:space="preserve">HSS-Schaftfräser Überlang bis 4Z- ø50,0 </v>
      </c>
      <c r="D215" s="20">
        <v>42.02</v>
      </c>
    </row>
    <row r="216" spans="1:4" x14ac:dyDescent="0.5">
      <c r="A216" s="12" t="s">
        <v>23</v>
      </c>
      <c r="B216" s="21" t="str">
        <f>"44442106"</f>
        <v>44442106</v>
      </c>
      <c r="C216" s="22" t="str">
        <f>"HSS-Schruppfräser Überlang bis 4Z -ø6,0"</f>
        <v>HSS-Schruppfräser Überlang bis 4Z -ø6,0</v>
      </c>
      <c r="D216" s="23">
        <v>7.68</v>
      </c>
    </row>
    <row r="217" spans="1:4" x14ac:dyDescent="0.5">
      <c r="B217" s="14" t="str">
        <f>"44442108"</f>
        <v>44442108</v>
      </c>
      <c r="C217" s="15" t="str">
        <f>"HSS-Schruppfräser Überlang bis 4Z -ø8,0"</f>
        <v>HSS-Schruppfräser Überlang bis 4Z -ø8,0</v>
      </c>
      <c r="D217" s="16">
        <v>7.68</v>
      </c>
    </row>
    <row r="218" spans="1:4" x14ac:dyDescent="0.5">
      <c r="B218" s="14" t="str">
        <f>"44442110"</f>
        <v>44442110</v>
      </c>
      <c r="C218" s="15" t="str">
        <f>"HSS-Schruppfräser Überlang bis 4Z -ø10,0"</f>
        <v>HSS-Schruppfräser Überlang bis 4Z -ø10,0</v>
      </c>
      <c r="D218" s="16">
        <v>7.68</v>
      </c>
    </row>
    <row r="219" spans="1:4" x14ac:dyDescent="0.5">
      <c r="B219" s="14" t="str">
        <f>"44442112"</f>
        <v>44442112</v>
      </c>
      <c r="C219" s="15" t="str">
        <f>"HSS-Schruppfräser Überlang bis 4Z -ø12,0"</f>
        <v>HSS-Schruppfräser Überlang bis 4Z -ø12,0</v>
      </c>
      <c r="D219" s="16">
        <v>10.86</v>
      </c>
    </row>
    <row r="220" spans="1:4" x14ac:dyDescent="0.5">
      <c r="B220" s="14" t="str">
        <f>"44442114"</f>
        <v>44442114</v>
      </c>
      <c r="C220" s="15" t="str">
        <f>"HSS-Schruppfräser Überlang bis 4Z -ø14,0"</f>
        <v>HSS-Schruppfräser Überlang bis 4Z -ø14,0</v>
      </c>
      <c r="D220" s="16">
        <v>10.86</v>
      </c>
    </row>
    <row r="221" spans="1:4" x14ac:dyDescent="0.5">
      <c r="B221" s="14" t="str">
        <f>"44442116"</f>
        <v>44442116</v>
      </c>
      <c r="C221" s="15" t="str">
        <f>"HSS-Schruppfräser Überlang bis 4Z -ø16,0"</f>
        <v>HSS-Schruppfräser Überlang bis 4Z -ø16,0</v>
      </c>
      <c r="D221" s="16">
        <v>14.77</v>
      </c>
    </row>
    <row r="222" spans="1:4" x14ac:dyDescent="0.5">
      <c r="B222" s="14" t="str">
        <f>"44442118"</f>
        <v>44442118</v>
      </c>
      <c r="C222" s="15" t="str">
        <f>"HSS-Schruppfräser Überlang bis 4Z -ø18,0"</f>
        <v>HSS-Schruppfräser Überlang bis 4Z -ø18,0</v>
      </c>
      <c r="D222" s="16">
        <v>14.77</v>
      </c>
    </row>
    <row r="223" spans="1:4" x14ac:dyDescent="0.5">
      <c r="B223" s="14" t="str">
        <f>"44442120"</f>
        <v>44442120</v>
      </c>
      <c r="C223" s="15" t="str">
        <f>"HSS-Schruppfräser Überlang bis 4Z -ø20,0"</f>
        <v>HSS-Schruppfräser Überlang bis 4Z -ø20,0</v>
      </c>
      <c r="D223" s="16">
        <v>14.77</v>
      </c>
    </row>
    <row r="224" spans="1:4" x14ac:dyDescent="0.5">
      <c r="B224" s="14" t="str">
        <f>"44442125"</f>
        <v>44442125</v>
      </c>
      <c r="C224" s="15" t="str">
        <f>"HSS-Schruppfräser Überlang bis 4Z -ø25,0"</f>
        <v>HSS-Schruppfräser Überlang bis 4Z -ø25,0</v>
      </c>
      <c r="D224" s="16">
        <v>22.25</v>
      </c>
    </row>
    <row r="225" spans="1:4" x14ac:dyDescent="0.5">
      <c r="B225" s="14" t="str">
        <f>"44442130"</f>
        <v>44442130</v>
      </c>
      <c r="C225" s="15" t="str">
        <f>"HSS-Schruppfräser Überlang bis 4Z -ø30,0"</f>
        <v>HSS-Schruppfräser Überlang bis 4Z -ø30,0</v>
      </c>
      <c r="D225" s="16">
        <v>22.25</v>
      </c>
    </row>
    <row r="226" spans="1:4" x14ac:dyDescent="0.5">
      <c r="B226" s="14" t="str">
        <f>"44442140"</f>
        <v>44442140</v>
      </c>
      <c r="C226" s="15" t="str">
        <f>"HSS-Schruppfräser Überlang bis 4Z -ø40,0"</f>
        <v>HSS-Schruppfräser Überlang bis 4Z -ø40,0</v>
      </c>
      <c r="D226" s="16">
        <v>33.14</v>
      </c>
    </row>
    <row r="227" spans="1:4" ht="18.899999999999999" thickBot="1" x14ac:dyDescent="0.55000000000000004">
      <c r="A227" s="17"/>
      <c r="B227" s="18" t="str">
        <f>"44442150"</f>
        <v>44442150</v>
      </c>
      <c r="C227" s="19" t="str">
        <f>"HSS-Schruppfräser Überlang bis 4Z -ø50,0"</f>
        <v>HSS-Schruppfräser Überlang bis 4Z -ø50,0</v>
      </c>
      <c r="D227" s="20">
        <v>48.44</v>
      </c>
    </row>
    <row r="228" spans="1:4" x14ac:dyDescent="0.5">
      <c r="A228" s="12" t="s">
        <v>19</v>
      </c>
      <c r="B228" s="21" t="str">
        <f>"44442206"</f>
        <v>44442206</v>
      </c>
      <c r="C228" s="22" t="str">
        <f>"HSS-Schaftfräser 8 Z oder konisch - ø 6,0"</f>
        <v>HSS-Schaftfräser 8 Z oder konisch - ø 6,0</v>
      </c>
      <c r="D228" s="23">
        <v>7.68</v>
      </c>
    </row>
    <row r="229" spans="1:4" x14ac:dyDescent="0.5">
      <c r="B229" s="14" t="str">
        <f>"44442208"</f>
        <v>44442208</v>
      </c>
      <c r="C229" s="15" t="str">
        <f>"HSS-Schaftfräser 8 Z oder konisch - ø 8,0"</f>
        <v>HSS-Schaftfräser 8 Z oder konisch - ø 8,0</v>
      </c>
      <c r="D229" s="16">
        <v>7.68</v>
      </c>
    </row>
    <row r="230" spans="1:4" x14ac:dyDescent="0.5">
      <c r="B230" s="14" t="str">
        <f>"44442210"</f>
        <v>44442210</v>
      </c>
      <c r="C230" s="15" t="str">
        <f>"HSS-Schaftfräser 8 Z oder konisch - ø 10,0"</f>
        <v>HSS-Schaftfräser 8 Z oder konisch - ø 10,0</v>
      </c>
      <c r="D230" s="16">
        <v>7.68</v>
      </c>
    </row>
    <row r="231" spans="1:4" x14ac:dyDescent="0.5">
      <c r="B231" s="14" t="str">
        <f>"44442212"</f>
        <v>44442212</v>
      </c>
      <c r="C231" s="15" t="str">
        <f>"HSS-Schaftfräser 8 Z oder konisch - ø 12,0"</f>
        <v>HSS-Schaftfräser 8 Z oder konisch - ø 12,0</v>
      </c>
      <c r="D231" s="16">
        <v>10.86</v>
      </c>
    </row>
    <row r="232" spans="1:4" x14ac:dyDescent="0.5">
      <c r="B232" s="14" t="str">
        <f>"44442214"</f>
        <v>44442214</v>
      </c>
      <c r="C232" s="15" t="str">
        <f>"HSS-Schaftfräser 8 Z oder konisch - ø 14,0"</f>
        <v>HSS-Schaftfräser 8 Z oder konisch - ø 14,0</v>
      </c>
      <c r="D232" s="16">
        <v>10.86</v>
      </c>
    </row>
    <row r="233" spans="1:4" x14ac:dyDescent="0.5">
      <c r="B233" s="14" t="str">
        <f>"44442216"</f>
        <v>44442216</v>
      </c>
      <c r="C233" s="15" t="str">
        <f>"HSS-Schaftfräser 8 Z oder konisch - ø 16,0"</f>
        <v>HSS-Schaftfräser 8 Z oder konisch - ø 16,0</v>
      </c>
      <c r="D233" s="16">
        <v>14.77</v>
      </c>
    </row>
    <row r="234" spans="1:4" x14ac:dyDescent="0.5">
      <c r="B234" s="14" t="str">
        <f>"44442218"</f>
        <v>44442218</v>
      </c>
      <c r="C234" s="15" t="str">
        <f>"HSS-Schaftfräser 8 Z oder konisch - ø 18,0"</f>
        <v>HSS-Schaftfräser 8 Z oder konisch - ø 18,0</v>
      </c>
      <c r="D234" s="16">
        <v>14.77</v>
      </c>
    </row>
    <row r="235" spans="1:4" x14ac:dyDescent="0.5">
      <c r="B235" s="14" t="str">
        <f>"44442220"</f>
        <v>44442220</v>
      </c>
      <c r="C235" s="15" t="str">
        <f>"HSS-Schaftfräser 8 Z oder konisch - ø 20,0"</f>
        <v>HSS-Schaftfräser 8 Z oder konisch - ø 20,0</v>
      </c>
      <c r="D235" s="16">
        <v>14.77</v>
      </c>
    </row>
    <row r="236" spans="1:4" x14ac:dyDescent="0.5">
      <c r="B236" s="14" t="str">
        <f>"44442225"</f>
        <v>44442225</v>
      </c>
      <c r="C236" s="15" t="str">
        <f>"HSS-Schaftfräser 8 Z oder konisch - ø 25,0"</f>
        <v>HSS-Schaftfräser 8 Z oder konisch - ø 25,0</v>
      </c>
      <c r="D236" s="16">
        <v>22.25</v>
      </c>
    </row>
    <row r="237" spans="1:4" x14ac:dyDescent="0.5">
      <c r="B237" s="14" t="str">
        <f>"44442230"</f>
        <v>44442230</v>
      </c>
      <c r="C237" s="15" t="str">
        <f>"HSS-Schaftfräser 8 Z oder konisch - ø 30,0"</f>
        <v>HSS-Schaftfräser 8 Z oder konisch - ø 30,0</v>
      </c>
      <c r="D237" s="16">
        <v>22.25</v>
      </c>
    </row>
    <row r="238" spans="1:4" x14ac:dyDescent="0.5">
      <c r="B238" s="14" t="str">
        <f>"44442240"</f>
        <v>44442240</v>
      </c>
      <c r="C238" s="15" t="str">
        <f>"HSS-Schaftfräser 8 Z oder konisch - ø 40,0"</f>
        <v>HSS-Schaftfräser 8 Z oder konisch - ø 40,0</v>
      </c>
      <c r="D238" s="16">
        <v>33.14</v>
      </c>
    </row>
    <row r="239" spans="1:4" ht="18.899999999999999" thickBot="1" x14ac:dyDescent="0.55000000000000004">
      <c r="A239" s="17"/>
      <c r="B239" s="18" t="str">
        <f>"44442250"</f>
        <v>44442250</v>
      </c>
      <c r="C239" s="19" t="str">
        <f>"HSS-Schaftfräser 8 Z oder konisch - ø 50,0"</f>
        <v>HSS-Schaftfräser 8 Z oder konisch - ø 50,0</v>
      </c>
      <c r="D239" s="20">
        <v>48.44</v>
      </c>
    </row>
    <row r="240" spans="1:4" x14ac:dyDescent="0.5">
      <c r="A240" s="12" t="s">
        <v>20</v>
      </c>
      <c r="B240" s="21" t="str">
        <f>"44442340"</f>
        <v>44442340</v>
      </c>
      <c r="C240" s="22" t="str">
        <f>"HSS-Walzenstirnfräser schlicht - ø 40 mm"</f>
        <v>HSS-Walzenstirnfräser schlicht - ø 40 mm</v>
      </c>
      <c r="D240" s="23">
        <v>15.08</v>
      </c>
    </row>
    <row r="241" spans="1:4" x14ac:dyDescent="0.5">
      <c r="B241" s="14" t="str">
        <f>"44442350"</f>
        <v>44442350</v>
      </c>
      <c r="C241" s="15" t="str">
        <f>"HSS-Walzenstirnfräser schlicht - ø 50 mm"</f>
        <v>HSS-Walzenstirnfräser schlicht - ø 50 mm</v>
      </c>
      <c r="D241" s="16">
        <v>18.11</v>
      </c>
    </row>
    <row r="242" spans="1:4" x14ac:dyDescent="0.5">
      <c r="B242" s="14" t="str">
        <f>"44442363"</f>
        <v>44442363</v>
      </c>
      <c r="C242" s="15" t="str">
        <f>"HSS-Walzenstirnfräser schlicht - ø 63 mm"</f>
        <v>HSS-Walzenstirnfräser schlicht - ø 63 mm</v>
      </c>
      <c r="D242" s="16">
        <v>20.96</v>
      </c>
    </row>
    <row r="243" spans="1:4" x14ac:dyDescent="0.5">
      <c r="B243" s="14" t="str">
        <f>"44442380"</f>
        <v>44442380</v>
      </c>
      <c r="C243" s="15" t="str">
        <f>"HSS-Walzenstirnfräser schlicht - ø 80 mm"</f>
        <v>HSS-Walzenstirnfräser schlicht - ø 80 mm</v>
      </c>
      <c r="D243" s="16">
        <v>24.04</v>
      </c>
    </row>
    <row r="244" spans="1:4" x14ac:dyDescent="0.5">
      <c r="B244" s="14" t="str">
        <f>"444423100"</f>
        <v>444423100</v>
      </c>
      <c r="C244" s="15" t="str">
        <f>"HSS-Walzenstirnfräser schlicht - ø 100 mm"</f>
        <v>HSS-Walzenstirnfräser schlicht - ø 100 mm</v>
      </c>
      <c r="D244" s="16">
        <v>35.67</v>
      </c>
    </row>
    <row r="245" spans="1:4" ht="18.899999999999999" thickBot="1" x14ac:dyDescent="0.55000000000000004">
      <c r="A245" s="17"/>
      <c r="B245" s="18" t="str">
        <f>"444423125"</f>
        <v>444423125</v>
      </c>
      <c r="C245" s="19" t="str">
        <f>"HSS-Walzenstirnfräser schlicht - ø 125 mm"</f>
        <v>HSS-Walzenstirnfräser schlicht - ø 125 mm</v>
      </c>
      <c r="D245" s="20">
        <v>44.42</v>
      </c>
    </row>
    <row r="246" spans="1:4" x14ac:dyDescent="0.5">
      <c r="A246" s="12" t="s">
        <v>27</v>
      </c>
      <c r="B246" s="21" t="str">
        <f>"44442440"</f>
        <v>44442440</v>
      </c>
      <c r="C246" s="22" t="str">
        <f>"HSS-Walzenstrinfräser schrupp - ø 40 mm"</f>
        <v>HSS-Walzenstrinfräser schrupp - ø 40 mm</v>
      </c>
      <c r="D246" s="23">
        <v>17.38</v>
      </c>
    </row>
    <row r="247" spans="1:4" x14ac:dyDescent="0.5">
      <c r="B247" s="14" t="str">
        <f>"44442450"</f>
        <v>44442450</v>
      </c>
      <c r="C247" s="15" t="str">
        <f>"HSS-Walzenstrinfräser schrupp - ø 50 mm"</f>
        <v>HSS-Walzenstrinfräser schrupp - ø 50 mm</v>
      </c>
      <c r="D247" s="16">
        <v>20.96</v>
      </c>
    </row>
    <row r="248" spans="1:4" x14ac:dyDescent="0.5">
      <c r="B248" s="14" t="str">
        <f>"44442463"</f>
        <v>44442463</v>
      </c>
      <c r="C248" s="15" t="str">
        <f>"HSS-Walzenstrinfräser schrupp - ø 63 mm"</f>
        <v>HSS-Walzenstrinfräser schrupp - ø 63 mm</v>
      </c>
      <c r="D248" s="16">
        <v>24.13</v>
      </c>
    </row>
    <row r="249" spans="1:4" x14ac:dyDescent="0.5">
      <c r="B249" s="14" t="str">
        <f>"44442480"</f>
        <v>44442480</v>
      </c>
      <c r="C249" s="15" t="str">
        <f>"HSS-Walzenstrinfräser schrupp - ø 80 mm"</f>
        <v>HSS-Walzenstrinfräser schrupp - ø 80 mm</v>
      </c>
      <c r="D249" s="16">
        <v>27.73</v>
      </c>
    </row>
    <row r="250" spans="1:4" x14ac:dyDescent="0.5">
      <c r="B250" s="14" t="str">
        <f>"444424100"</f>
        <v>444424100</v>
      </c>
      <c r="C250" s="15" t="str">
        <f>"HSS-Walzenstrinfräser schrupp - ø 100 mm"</f>
        <v>HSS-Walzenstrinfräser schrupp - ø 100 mm</v>
      </c>
      <c r="D250" s="16">
        <v>41.01</v>
      </c>
    </row>
    <row r="251" spans="1:4" ht="18.899999999999999" thickBot="1" x14ac:dyDescent="0.55000000000000004">
      <c r="A251" s="17"/>
      <c r="B251" s="18" t="str">
        <f>"444424125"</f>
        <v>444424125</v>
      </c>
      <c r="C251" s="19" t="str">
        <f>"HSS-Walzenstrinfräser schrupp - ø 125 mm"</f>
        <v>HSS-Walzenstrinfräser schrupp - ø 125 mm</v>
      </c>
      <c r="D251" s="20">
        <v>51.23</v>
      </c>
    </row>
    <row r="252" spans="1:4" x14ac:dyDescent="0.5">
      <c r="A252" s="12" t="s">
        <v>28</v>
      </c>
      <c r="B252" s="21" t="str">
        <f>"44442540"</f>
        <v>44442540</v>
      </c>
      <c r="C252" s="22" t="str">
        <f>"Halbkreisformfräser Prismenfräser - ø 40 mm"</f>
        <v>Halbkreisformfräser Prismenfräser - ø 40 mm</v>
      </c>
      <c r="D252" s="23">
        <v>23.65</v>
      </c>
    </row>
    <row r="253" spans="1:4" x14ac:dyDescent="0.5">
      <c r="B253" s="14" t="str">
        <f>"44442550"</f>
        <v>44442550</v>
      </c>
      <c r="C253" s="15" t="str">
        <f>"Halbkreisformfräser Prismenfräser - ø 50 mm"</f>
        <v>Halbkreisformfräser Prismenfräser - ø 50 mm</v>
      </c>
      <c r="D253" s="16">
        <v>23.65</v>
      </c>
    </row>
    <row r="254" spans="1:4" x14ac:dyDescent="0.5">
      <c r="B254" s="14" t="str">
        <f>"44442563"</f>
        <v>44442563</v>
      </c>
      <c r="C254" s="15" t="str">
        <f>"Halbkreisformfräser Prismenfräser - ø 63 mm"</f>
        <v>Halbkreisformfräser Prismenfräser - ø 63 mm</v>
      </c>
      <c r="D254" s="16">
        <v>29.46</v>
      </c>
    </row>
    <row r="255" spans="1:4" x14ac:dyDescent="0.5">
      <c r="B255" s="14" t="str">
        <f>"44442580"</f>
        <v>44442580</v>
      </c>
      <c r="C255" s="15" t="str">
        <f>"Halbkreisformfräser Prismenfräser - ø 80 mm"</f>
        <v>Halbkreisformfräser Prismenfräser - ø 80 mm</v>
      </c>
      <c r="D255" s="16">
        <v>37.93</v>
      </c>
    </row>
    <row r="256" spans="1:4" x14ac:dyDescent="0.5">
      <c r="B256" s="14" t="str">
        <f>"444425100"</f>
        <v>444425100</v>
      </c>
      <c r="C256" s="15" t="str">
        <f>"Halbkreisformfräser Prismenfräser - ø 100 mm"</f>
        <v>Halbkreisformfräser Prismenfräser - ø 100 mm</v>
      </c>
      <c r="D256" s="16">
        <v>51.52</v>
      </c>
    </row>
    <row r="257" spans="1:4" ht="18.899999999999999" thickBot="1" x14ac:dyDescent="0.55000000000000004">
      <c r="A257" s="17"/>
      <c r="B257" s="18" t="str">
        <f>"444425125"</f>
        <v>444425125</v>
      </c>
      <c r="C257" s="19" t="str">
        <f>"Halbkreisformfräser Prismenfräser - ø 125 mm"</f>
        <v>Halbkreisformfräser Prismenfräser - ø 125 mm</v>
      </c>
      <c r="D257" s="20">
        <v>64.790000000000006</v>
      </c>
    </row>
    <row r="258" spans="1:4" x14ac:dyDescent="0.5">
      <c r="A258" s="12" t="s">
        <v>29</v>
      </c>
      <c r="B258" s="21" t="str">
        <f>"44442640"</f>
        <v>44442640</v>
      </c>
      <c r="C258" s="22" t="str">
        <f>"HM-Walzenstirnfräser - ø 40 mm"</f>
        <v>HM-Walzenstirnfräser - ø 40 mm</v>
      </c>
      <c r="D258" s="23">
        <v>22.72</v>
      </c>
    </row>
    <row r="259" spans="1:4" x14ac:dyDescent="0.5">
      <c r="B259" s="14" t="str">
        <f>"44442650"</f>
        <v>44442650</v>
      </c>
      <c r="C259" s="15" t="str">
        <f>"HM-Walzenstirnfräser - ø50 mm"</f>
        <v>HM-Walzenstirnfräser - ø50 mm</v>
      </c>
      <c r="D259" s="16">
        <v>27.2</v>
      </c>
    </row>
    <row r="260" spans="1:4" x14ac:dyDescent="0.5">
      <c r="B260" s="14" t="str">
        <f>"44442663"</f>
        <v>44442663</v>
      </c>
      <c r="C260" s="15" t="str">
        <f>"HM-Walzenstirnfräser - ø 63 mm"</f>
        <v>HM-Walzenstirnfräser - ø 63 mm</v>
      </c>
      <c r="D260" s="16">
        <v>31.47</v>
      </c>
    </row>
    <row r="261" spans="1:4" x14ac:dyDescent="0.5">
      <c r="B261" s="14" t="str">
        <f>"44442680"</f>
        <v>44442680</v>
      </c>
      <c r="C261" s="15" t="str">
        <f>"HM-Walzenstirnfräser - ø 80 mm"</f>
        <v>HM-Walzenstirnfräser - ø 80 mm</v>
      </c>
      <c r="D261" s="16">
        <v>58.25</v>
      </c>
    </row>
    <row r="262" spans="1:4" x14ac:dyDescent="0.5">
      <c r="B262" s="14" t="str">
        <f>"444426100"</f>
        <v>444426100</v>
      </c>
      <c r="C262" s="15" t="str">
        <f>"HM-Walzenstirnfräser - ø 100 mm"</f>
        <v>HM-Walzenstirnfräser - ø 100 mm</v>
      </c>
      <c r="D262" s="16">
        <v>61.52</v>
      </c>
    </row>
    <row r="263" spans="1:4" ht="18.899999999999999" thickBot="1" x14ac:dyDescent="0.55000000000000004">
      <c r="A263" s="17"/>
      <c r="B263" s="18" t="str">
        <f>"444426125"</f>
        <v>444426125</v>
      </c>
      <c r="C263" s="19" t="str">
        <f>"HM-Walzenstirnfräser - ø 125 mm"</f>
        <v>HM-Walzenstirnfräser - ø 125 mm</v>
      </c>
      <c r="D263" s="20">
        <v>66.599999999999994</v>
      </c>
    </row>
    <row r="264" spans="1:4" x14ac:dyDescent="0.5">
      <c r="A264" s="12" t="s">
        <v>30</v>
      </c>
      <c r="B264" s="21" t="str">
        <f>"44442706"</f>
        <v>44442706</v>
      </c>
      <c r="C264" s="22" t="str">
        <f>"VHM-Spiralbohrer - ø 6,0 mm"</f>
        <v>VHM-Spiralbohrer - ø 6,0 mm</v>
      </c>
      <c r="D264" s="23">
        <v>3.65</v>
      </c>
    </row>
    <row r="265" spans="1:4" x14ac:dyDescent="0.5">
      <c r="B265" s="14" t="str">
        <f>"44442708"</f>
        <v>44442708</v>
      </c>
      <c r="C265" s="15" t="str">
        <f>"VHM-Spiralbohrer - ø 8,0 mm"</f>
        <v>VHM-Spiralbohrer - ø 8,0 mm</v>
      </c>
      <c r="D265" s="16">
        <v>3.65</v>
      </c>
    </row>
    <row r="266" spans="1:4" x14ac:dyDescent="0.5">
      <c r="B266" s="14" t="str">
        <f>"44442710"</f>
        <v>44442710</v>
      </c>
      <c r="C266" s="15" t="str">
        <f>"VHM-Spiralbohrer - ø 10,0 mm"</f>
        <v>VHM-Spiralbohrer - ø 10,0 mm</v>
      </c>
      <c r="D266" s="16">
        <v>3.65</v>
      </c>
    </row>
    <row r="267" spans="1:4" x14ac:dyDescent="0.5">
      <c r="B267" s="14" t="str">
        <f>"44442712"</f>
        <v>44442712</v>
      </c>
      <c r="C267" s="15" t="str">
        <f>"VHM-Spiralbohrer - ø 12,0 mm"</f>
        <v>VHM-Spiralbohrer - ø 12,0 mm</v>
      </c>
      <c r="D267" s="16">
        <v>5.59</v>
      </c>
    </row>
    <row r="268" spans="1:4" x14ac:dyDescent="0.5">
      <c r="B268" s="14" t="str">
        <f>"44442714"</f>
        <v>44442714</v>
      </c>
      <c r="C268" s="15" t="str">
        <f>"VHM-Spiralbohrer - ø 14,0 mm"</f>
        <v>VHM-Spiralbohrer - ø 14,0 mm</v>
      </c>
      <c r="D268" s="16">
        <v>5.59</v>
      </c>
    </row>
    <row r="269" spans="1:4" x14ac:dyDescent="0.5">
      <c r="B269" s="14" t="str">
        <f>"44442716"</f>
        <v>44442716</v>
      </c>
      <c r="C269" s="15" t="str">
        <f>"VHM-Spiralbohrer - ø 16,0 mm"</f>
        <v>VHM-Spiralbohrer - ø 16,0 mm</v>
      </c>
      <c r="D269" s="16">
        <v>5.59</v>
      </c>
    </row>
    <row r="270" spans="1:4" x14ac:dyDescent="0.5">
      <c r="B270" s="14" t="str">
        <f>"44442718"</f>
        <v>44442718</v>
      </c>
      <c r="C270" s="15" t="str">
        <f>"VHM-Spiralbohrer - ø 18,0 mm"</f>
        <v>VHM-Spiralbohrer - ø 18,0 mm</v>
      </c>
      <c r="D270" s="16">
        <v>5.59</v>
      </c>
    </row>
    <row r="271" spans="1:4" x14ac:dyDescent="0.5">
      <c r="B271" s="14" t="str">
        <f>"44442720"</f>
        <v>44442720</v>
      </c>
      <c r="C271" s="15" t="str">
        <f>"VHM-Spiralbohrer - ø 20,0 mm"</f>
        <v>VHM-Spiralbohrer - ø 20,0 mm</v>
      </c>
      <c r="D271" s="16">
        <v>8.6300000000000008</v>
      </c>
    </row>
    <row r="272" spans="1:4" x14ac:dyDescent="0.5">
      <c r="B272" s="14" t="str">
        <f>"44442725"</f>
        <v>44442725</v>
      </c>
      <c r="C272" s="15" t="str">
        <f>"VHM-Spiralbohrer - ø 25,0 mm"</f>
        <v>VHM-Spiralbohrer - ø 25,0 mm</v>
      </c>
      <c r="D272" s="16">
        <v>8.6300000000000008</v>
      </c>
    </row>
    <row r="273" spans="1:4" ht="18.899999999999999" thickBot="1" x14ac:dyDescent="0.55000000000000004">
      <c r="A273" s="17"/>
      <c r="B273" s="18" t="str">
        <f>"44442730"</f>
        <v>44442730</v>
      </c>
      <c r="C273" s="19" t="str">
        <f>"VHM-Spiralbohrer - ø 30,0 mm"</f>
        <v>VHM-Spiralbohrer - ø 30,0 mm</v>
      </c>
      <c r="D273" s="20">
        <v>13</v>
      </c>
    </row>
    <row r="274" spans="1:4" x14ac:dyDescent="0.5">
      <c r="A274" s="12" t="s">
        <v>21</v>
      </c>
      <c r="B274" s="21" t="str">
        <f>"44442806"</f>
        <v>44442806</v>
      </c>
      <c r="C274" s="22" t="str">
        <f>"VHM-Spiralbohrer Neuanschliff - ø 6,0 mm"</f>
        <v>VHM-Spiralbohrer Neuanschliff - ø 6,0 mm</v>
      </c>
      <c r="D274" s="23">
        <v>5.46</v>
      </c>
    </row>
    <row r="275" spans="1:4" x14ac:dyDescent="0.5">
      <c r="B275" s="14" t="str">
        <f>"44442808"</f>
        <v>44442808</v>
      </c>
      <c r="C275" s="15" t="str">
        <f>"VHM-Spiralbohrer Neuanschliff - ø 8,0 mm"</f>
        <v>VHM-Spiralbohrer Neuanschliff - ø 8,0 mm</v>
      </c>
      <c r="D275" s="16">
        <v>5.46</v>
      </c>
    </row>
    <row r="276" spans="1:4" x14ac:dyDescent="0.5">
      <c r="B276" s="14" t="str">
        <f>"44442810"</f>
        <v>44442810</v>
      </c>
      <c r="C276" s="15" t="str">
        <f>"VHM-Spiralbohrer Neuanschliff - ø 10,0 mm"</f>
        <v>VHM-Spiralbohrer Neuanschliff - ø 10,0 mm</v>
      </c>
      <c r="D276" s="16">
        <v>5.46</v>
      </c>
    </row>
    <row r="277" spans="1:4" x14ac:dyDescent="0.5">
      <c r="B277" s="14" t="str">
        <f>"44442812"</f>
        <v>44442812</v>
      </c>
      <c r="C277" s="15" t="str">
        <f>"VHM-Spiralbohrer Neuanschliff - ø 12,0 mm"</f>
        <v>VHM-Spiralbohrer Neuanschliff - ø 12,0 mm</v>
      </c>
      <c r="D277" s="16">
        <v>8.3800000000000008</v>
      </c>
    </row>
    <row r="278" spans="1:4" x14ac:dyDescent="0.5">
      <c r="B278" s="14" t="str">
        <f>"44442814"</f>
        <v>44442814</v>
      </c>
      <c r="C278" s="15" t="str">
        <f>"VHM-Spiralbohrer Neuanschliff - ø 14,0 mm"</f>
        <v>VHM-Spiralbohrer Neuanschliff - ø 14,0 mm</v>
      </c>
      <c r="D278" s="16">
        <v>8.3800000000000008</v>
      </c>
    </row>
    <row r="279" spans="1:4" x14ac:dyDescent="0.5">
      <c r="B279" s="14" t="str">
        <f>"44442816"</f>
        <v>44442816</v>
      </c>
      <c r="C279" s="15" t="str">
        <f>"VHM-Spiralbohrer Neuanschliff - ø 16,0 mm"</f>
        <v>VHM-Spiralbohrer Neuanschliff - ø 16,0 mm</v>
      </c>
      <c r="D279" s="16">
        <v>8.3800000000000008</v>
      </c>
    </row>
    <row r="280" spans="1:4" x14ac:dyDescent="0.5">
      <c r="B280" s="14" t="str">
        <f>"44442818"</f>
        <v>44442818</v>
      </c>
      <c r="C280" s="15" t="str">
        <f>"VHM-Spiralbohrer Neuanschliff - ø 18,0 mm"</f>
        <v>VHM-Spiralbohrer Neuanschliff - ø 18,0 mm</v>
      </c>
      <c r="D280" s="16">
        <v>8.3800000000000008</v>
      </c>
    </row>
    <row r="281" spans="1:4" x14ac:dyDescent="0.5">
      <c r="B281" s="14" t="str">
        <f>"44442820"</f>
        <v>44442820</v>
      </c>
      <c r="C281" s="15" t="str">
        <f>"VHM-Spiralbohrer Neuanschliff - ø 20,0 mm"</f>
        <v>VHM-Spiralbohrer Neuanschliff - ø 20,0 mm</v>
      </c>
      <c r="D281" s="16">
        <v>12.87</v>
      </c>
    </row>
    <row r="282" spans="1:4" x14ac:dyDescent="0.5">
      <c r="B282" s="14" t="str">
        <f>"44442825"</f>
        <v>44442825</v>
      </c>
      <c r="C282" s="15" t="str">
        <f>"VHM-Spiralbohrer Neuanschliff - ø 25,0 mm"</f>
        <v>VHM-Spiralbohrer Neuanschliff - ø 25,0 mm</v>
      </c>
      <c r="D282" s="16">
        <v>12.87</v>
      </c>
    </row>
    <row r="283" spans="1:4" ht="18.899999999999999" thickBot="1" x14ac:dyDescent="0.55000000000000004">
      <c r="A283" s="17"/>
      <c r="B283" s="18" t="str">
        <f>"44442830"</f>
        <v>44442830</v>
      </c>
      <c r="C283" s="19" t="str">
        <f>"VHM-Spiralbohrer Neuanschliff - ø 30,0 mm"</f>
        <v>VHM-Spiralbohrer Neuanschliff - ø 30,0 mm</v>
      </c>
      <c r="D283" s="20">
        <v>19.489999999999998</v>
      </c>
    </row>
    <row r="284" spans="1:4" x14ac:dyDescent="0.5">
      <c r="A284" s="12" t="s">
        <v>31</v>
      </c>
      <c r="B284" s="21" t="str">
        <f>"44442906"</f>
        <v>44442906</v>
      </c>
      <c r="C284" s="22" t="str">
        <f>"VHM-Spiralbohrer  - ø 6,0 mm"</f>
        <v>VHM-Spiralbohrer  - ø 6,0 mm</v>
      </c>
      <c r="D284" s="23">
        <v>7.29</v>
      </c>
    </row>
    <row r="285" spans="1:4" x14ac:dyDescent="0.5">
      <c r="B285" s="14" t="str">
        <f>"44442908"</f>
        <v>44442908</v>
      </c>
      <c r="C285" s="15" t="str">
        <f>"VHM-Spiralbohrer  - ø 8,0 mm"</f>
        <v>VHM-Spiralbohrer  - ø 8,0 mm</v>
      </c>
      <c r="D285" s="16">
        <v>7.29</v>
      </c>
    </row>
    <row r="286" spans="1:4" x14ac:dyDescent="0.5">
      <c r="B286" s="14" t="str">
        <f>"44442910"</f>
        <v>44442910</v>
      </c>
      <c r="C286" s="15" t="str">
        <f>"VHM-Spiralbohrer  - ø 10,0 mm"</f>
        <v>VHM-Spiralbohrer  - ø 10,0 mm</v>
      </c>
      <c r="D286" s="16">
        <v>7.29</v>
      </c>
    </row>
    <row r="287" spans="1:4" x14ac:dyDescent="0.5">
      <c r="B287" s="14" t="str">
        <f>"44442912"</f>
        <v>44442912</v>
      </c>
      <c r="C287" s="15" t="str">
        <f>"VHM-Spiralbohrer  - ø 12,0 mm"</f>
        <v>VHM-Spiralbohrer  - ø 12,0 mm</v>
      </c>
      <c r="D287" s="16">
        <v>11.18</v>
      </c>
    </row>
    <row r="288" spans="1:4" x14ac:dyDescent="0.5">
      <c r="B288" s="14" t="str">
        <f>"44442914"</f>
        <v>44442914</v>
      </c>
      <c r="C288" s="15" t="str">
        <f>"VHM-Spiralbohrer  - ø 14,0 mm"</f>
        <v>VHM-Spiralbohrer  - ø 14,0 mm</v>
      </c>
      <c r="D288" s="16">
        <v>11.18</v>
      </c>
    </row>
    <row r="289" spans="1:4" x14ac:dyDescent="0.5">
      <c r="B289" s="14" t="str">
        <f>"44442916"</f>
        <v>44442916</v>
      </c>
      <c r="C289" s="15" t="str">
        <f>"VHM-Spiralbohrer  - ø 16,0 mm"</f>
        <v>VHM-Spiralbohrer  - ø 16,0 mm</v>
      </c>
      <c r="D289" s="16">
        <v>11.18</v>
      </c>
    </row>
    <row r="290" spans="1:4" x14ac:dyDescent="0.5">
      <c r="B290" s="14" t="str">
        <f>"44442918"</f>
        <v>44442918</v>
      </c>
      <c r="C290" s="15" t="str">
        <f>"VHM-Spiralbohrer  - ø 18,0 mm"</f>
        <v>VHM-Spiralbohrer  - ø 18,0 mm</v>
      </c>
      <c r="D290" s="16">
        <v>11.18</v>
      </c>
    </row>
    <row r="291" spans="1:4" x14ac:dyDescent="0.5">
      <c r="B291" s="14" t="str">
        <f>"44442920"</f>
        <v>44442920</v>
      </c>
      <c r="C291" s="15" t="str">
        <f>"VHM-Spiralbohrer  - ø 20,0 mm"</f>
        <v>VHM-Spiralbohrer  - ø 20,0 mm</v>
      </c>
      <c r="D291" s="16">
        <v>17.190000000000001</v>
      </c>
    </row>
    <row r="292" spans="1:4" ht="18.899999999999999" thickBot="1" x14ac:dyDescent="0.55000000000000004">
      <c r="A292" s="17"/>
      <c r="B292" s="18" t="str">
        <f>"44442925"</f>
        <v>44442925</v>
      </c>
      <c r="C292" s="19" t="str">
        <f>"VHM-Spiralbohrer  - ø 25,0 mm"</f>
        <v>VHM-Spiralbohrer  - ø 25,0 mm</v>
      </c>
      <c r="D292" s="20">
        <v>17.190000000000001</v>
      </c>
    </row>
    <row r="293" spans="1:4" x14ac:dyDescent="0.5">
      <c r="A293" s="12" t="s">
        <v>32</v>
      </c>
      <c r="B293" s="21" t="str">
        <f>"44443006"</f>
        <v>44443006</v>
      </c>
      <c r="C293" s="22" t="str">
        <f>"VHM-Hochleistungsbohrer 8xD - ø 6,0 mm"</f>
        <v>VHM-Hochleistungsbohrer 8xD - ø 6,0 mm</v>
      </c>
      <c r="D293" s="23">
        <v>9.23</v>
      </c>
    </row>
    <row r="294" spans="1:4" x14ac:dyDescent="0.5">
      <c r="B294" s="14" t="str">
        <f>"44443008"</f>
        <v>44443008</v>
      </c>
      <c r="C294" s="15" t="str">
        <f>"VHM-Hochleistungsbohrer 8xD - ø 8,0 mm"</f>
        <v>VHM-Hochleistungsbohrer 8xD - ø 8,0 mm</v>
      </c>
      <c r="D294" s="16">
        <v>10.130000000000001</v>
      </c>
    </row>
    <row r="295" spans="1:4" x14ac:dyDescent="0.5">
      <c r="B295" s="14" t="str">
        <f>"44443010"</f>
        <v>44443010</v>
      </c>
      <c r="C295" s="15" t="str">
        <f>"VHM-Hochleistungsbohrer 8xD - ø 10,0 mm"</f>
        <v>VHM-Hochleistungsbohrer 8xD - ø 10,0 mm</v>
      </c>
      <c r="D295" s="16">
        <v>11.41</v>
      </c>
    </row>
    <row r="296" spans="1:4" x14ac:dyDescent="0.5">
      <c r="B296" s="14" t="str">
        <f>"44443012"</f>
        <v>44443012</v>
      </c>
      <c r="C296" s="15" t="str">
        <f>"VHM-Hochleistungsbohrer 8xD - ø 12,0 mm"</f>
        <v>VHM-Hochleistungsbohrer 8xD - ø 12,0 mm</v>
      </c>
      <c r="D296" s="16">
        <v>12.13</v>
      </c>
    </row>
    <row r="297" spans="1:4" x14ac:dyDescent="0.5">
      <c r="B297" s="14" t="str">
        <f>"44443014"</f>
        <v>44443014</v>
      </c>
      <c r="C297" s="15" t="str">
        <f>"VHM-Hochleistungsbohrer 8xD - ø 14,0 mm"</f>
        <v>VHM-Hochleistungsbohrer 8xD - ø 14,0 mm</v>
      </c>
      <c r="D297" s="16">
        <v>12.81</v>
      </c>
    </row>
    <row r="298" spans="1:4" x14ac:dyDescent="0.5">
      <c r="B298" s="14" t="str">
        <f>"44443016"</f>
        <v>44443016</v>
      </c>
      <c r="C298" s="15" t="str">
        <f>"VHM-Hochleistungsbohrer 8xD - ø 16,0 mm"</f>
        <v>VHM-Hochleistungsbohrer 8xD - ø 16,0 mm</v>
      </c>
      <c r="D298" s="16">
        <v>15.19</v>
      </c>
    </row>
    <row r="299" spans="1:4" x14ac:dyDescent="0.5">
      <c r="B299" s="14" t="str">
        <f>"44443018"</f>
        <v>44443018</v>
      </c>
      <c r="C299" s="15" t="str">
        <f>"VHM-Hochleistungsbohrer 8xD - ø 18,0 mm"</f>
        <v>VHM-Hochleistungsbohrer 8xD - ø 18,0 mm</v>
      </c>
      <c r="D299" s="16">
        <v>16.329999999999998</v>
      </c>
    </row>
    <row r="300" spans="1:4" x14ac:dyDescent="0.5">
      <c r="B300" s="14" t="str">
        <f>"44443020"</f>
        <v>44443020</v>
      </c>
      <c r="C300" s="15" t="str">
        <f>"VHM-Hochleistungsbohrer 8xD - ø 20,0 mm"</f>
        <v>VHM-Hochleistungsbohrer 8xD - ø 20,0 mm</v>
      </c>
      <c r="D300" s="16">
        <v>17.54</v>
      </c>
    </row>
    <row r="301" spans="1:4" x14ac:dyDescent="0.5">
      <c r="B301" s="14" t="str">
        <f>"44443025"</f>
        <v>44443025</v>
      </c>
      <c r="C301" s="15" t="str">
        <f>"VHM-Hochleistungsbohrer 8xD - ø 25,0 mm"</f>
        <v>VHM-Hochleistungsbohrer 8xD - ø 25,0 mm</v>
      </c>
      <c r="D301" s="16">
        <v>20.34</v>
      </c>
    </row>
    <row r="302" spans="1:4" ht="18.899999999999999" thickBot="1" x14ac:dyDescent="0.55000000000000004">
      <c r="A302" s="17"/>
      <c r="B302" s="18" t="str">
        <f>"44443030"</f>
        <v>44443030</v>
      </c>
      <c r="C302" s="19" t="str">
        <f>"VHM-Hochleistungsbohrer 8xD - ø 30,0 mm"</f>
        <v>VHM-Hochleistungsbohrer 8xD - ø 30,0 mm</v>
      </c>
      <c r="D302" s="20">
        <v>32.840000000000003</v>
      </c>
    </row>
    <row r="303" spans="1:4" x14ac:dyDescent="0.5">
      <c r="A303" s="12" t="s">
        <v>33</v>
      </c>
      <c r="B303" s="21" t="str">
        <f>"44443106"</f>
        <v>44443106</v>
      </c>
      <c r="C303" s="22" t="str">
        <f>"VHM-Hochleistungsbohrer  - ø 6,0 mm"</f>
        <v>VHM-Hochleistungsbohrer  - ø 6,0 mm</v>
      </c>
      <c r="D303" s="23">
        <v>18.46</v>
      </c>
    </row>
    <row r="304" spans="1:4" x14ac:dyDescent="0.5">
      <c r="B304" s="14" t="str">
        <f>"44443108"</f>
        <v>44443108</v>
      </c>
      <c r="C304" s="15" t="str">
        <f>"VHM-Hochleistungsbohrer  - ø 8,0 mm"</f>
        <v>VHM-Hochleistungsbohrer  - ø 8,0 mm</v>
      </c>
      <c r="D304" s="16">
        <v>20.28</v>
      </c>
    </row>
    <row r="305" spans="1:4" x14ac:dyDescent="0.5">
      <c r="B305" s="14" t="str">
        <f>"44443110"</f>
        <v>44443110</v>
      </c>
      <c r="C305" s="15" t="str">
        <f>"VHM-Hochleistungsbohrer  - ø 10,0 mm"</f>
        <v>VHM-Hochleistungsbohrer  - ø 10,0 mm</v>
      </c>
      <c r="D305" s="16">
        <v>22.77</v>
      </c>
    </row>
    <row r="306" spans="1:4" x14ac:dyDescent="0.5">
      <c r="B306" s="14" t="str">
        <f>"44443112"</f>
        <v>44443112</v>
      </c>
      <c r="C306" s="15" t="str">
        <f>"VHM-Hochleistungsbohrer  - ø 12,0 mm"</f>
        <v>VHM-Hochleistungsbohrer  - ø 12,0 mm</v>
      </c>
      <c r="D306" s="16">
        <v>24.23</v>
      </c>
    </row>
    <row r="307" spans="1:4" x14ac:dyDescent="0.5">
      <c r="B307" s="14" t="str">
        <f>"44443114"</f>
        <v>44443114</v>
      </c>
      <c r="C307" s="15" t="str">
        <f>"VHM-Hochleistungsbohrer - ø 14,0 mm"</f>
        <v>VHM-Hochleistungsbohrer - ø 14,0 mm</v>
      </c>
      <c r="D307" s="16">
        <v>25.63</v>
      </c>
    </row>
    <row r="308" spans="1:4" x14ac:dyDescent="0.5">
      <c r="B308" s="14" t="str">
        <f>"44443116"</f>
        <v>44443116</v>
      </c>
      <c r="C308" s="15" t="str">
        <f>"VHM-Hochleistungsbohrer - ø 16,0 mm"</f>
        <v>VHM-Hochleistungsbohrer - ø 16,0 mm</v>
      </c>
      <c r="D308" s="16">
        <v>30.36</v>
      </c>
    </row>
    <row r="309" spans="1:4" x14ac:dyDescent="0.5">
      <c r="B309" s="14" t="str">
        <f>"44443118"</f>
        <v>44443118</v>
      </c>
      <c r="C309" s="15" t="str">
        <f>"VHM-Hochleistungsbohrer - ø 18,0 mm"</f>
        <v>VHM-Hochleistungsbohrer - ø 18,0 mm</v>
      </c>
      <c r="D309" s="16">
        <v>32.67</v>
      </c>
    </row>
    <row r="310" spans="1:4" x14ac:dyDescent="0.5">
      <c r="B310" s="14" t="str">
        <f>"44443120"</f>
        <v>44443120</v>
      </c>
      <c r="C310" s="15" t="str">
        <f>"VHM-Hochleistungsbohrer - ø 20,0 mm"</f>
        <v>VHM-Hochleistungsbohrer - ø 20,0 mm</v>
      </c>
      <c r="D310" s="16">
        <v>35.04</v>
      </c>
    </row>
    <row r="311" spans="1:4" x14ac:dyDescent="0.5">
      <c r="B311" s="14" t="str">
        <f>"44443125"</f>
        <v>44443125</v>
      </c>
      <c r="C311" s="15" t="str">
        <f>"VHM-Hochleistungsbohrer - ø 25,0 mm"</f>
        <v>VHM-Hochleistungsbohrer - ø 25,0 mm</v>
      </c>
      <c r="D311" s="16">
        <v>40.69</v>
      </c>
    </row>
    <row r="312" spans="1:4" ht="18.899999999999999" thickBot="1" x14ac:dyDescent="0.55000000000000004">
      <c r="A312" s="17"/>
      <c r="B312" s="18" t="str">
        <f>"44443130"</f>
        <v>44443130</v>
      </c>
      <c r="C312" s="19" t="str">
        <f>"VHM-Hochleistungsbohrer - ø 30,0 mm"</f>
        <v>VHM-Hochleistungsbohrer - ø 30,0 mm</v>
      </c>
      <c r="D312" s="20">
        <v>65.64</v>
      </c>
    </row>
    <row r="313" spans="1:4" x14ac:dyDescent="0.5">
      <c r="A313" s="12" t="s">
        <v>34</v>
      </c>
      <c r="B313" s="21" t="str">
        <f>"44443206"</f>
        <v>44443206</v>
      </c>
      <c r="C313" s="22" t="str">
        <f>"VHM-NC-Anbohrer - ø 6,0 mm"</f>
        <v>VHM-NC-Anbohrer - ø 6,0 mm</v>
      </c>
      <c r="D313" s="23">
        <v>7.84</v>
      </c>
    </row>
    <row r="314" spans="1:4" x14ac:dyDescent="0.5">
      <c r="B314" s="14" t="str">
        <f>"44443208"</f>
        <v>44443208</v>
      </c>
      <c r="C314" s="15" t="str">
        <f>"VHM-NC-Anbohrer - ø 8,0 mm"</f>
        <v>VHM-NC-Anbohrer - ø 8,0 mm</v>
      </c>
      <c r="D314" s="16">
        <v>7.84</v>
      </c>
    </row>
    <row r="315" spans="1:4" x14ac:dyDescent="0.5">
      <c r="B315" s="14" t="str">
        <f>"44443210"</f>
        <v>44443210</v>
      </c>
      <c r="C315" s="15" t="str">
        <f>"VHM-NC-Anbohrer - ø 10,0 mm"</f>
        <v>VHM-NC-Anbohrer - ø 10,0 mm</v>
      </c>
      <c r="D315" s="16">
        <v>7.84</v>
      </c>
    </row>
    <row r="316" spans="1:4" x14ac:dyDescent="0.5">
      <c r="B316" s="14" t="str">
        <f>"44443212"</f>
        <v>44443212</v>
      </c>
      <c r="C316" s="15" t="str">
        <f>"VHM-NC-Anbohrer - ø 12,0 mm"</f>
        <v>VHM-NC-Anbohrer - ø 12,0 mm</v>
      </c>
      <c r="D316" s="16">
        <v>7.84</v>
      </c>
    </row>
    <row r="317" spans="1:4" x14ac:dyDescent="0.5">
      <c r="B317" s="14" t="str">
        <f>"44443214"</f>
        <v>44443214</v>
      </c>
      <c r="C317" s="15" t="str">
        <f>"VHM-NC-Anbohrer - ø 14,0 mm"</f>
        <v>VHM-NC-Anbohrer - ø 14,0 mm</v>
      </c>
      <c r="D317" s="16">
        <v>7.84</v>
      </c>
    </row>
    <row r="318" spans="1:4" x14ac:dyDescent="0.5">
      <c r="B318" s="14" t="str">
        <f>"44443216"</f>
        <v>44443216</v>
      </c>
      <c r="C318" s="15" t="str">
        <f>"VHM-NC-Anbohrer - ø 16,0 mm"</f>
        <v>VHM-NC-Anbohrer - ø 16,0 mm</v>
      </c>
      <c r="D318" s="16">
        <v>7.84</v>
      </c>
    </row>
    <row r="319" spans="1:4" x14ac:dyDescent="0.5">
      <c r="B319" s="14" t="str">
        <f>"44443218"</f>
        <v>44443218</v>
      </c>
      <c r="C319" s="15" t="str">
        <f>"VHM-NC-Anbohrer - ø 18,0 mm"</f>
        <v>VHM-NC-Anbohrer - ø 18,0 mm</v>
      </c>
      <c r="D319" s="16">
        <v>7.84</v>
      </c>
    </row>
    <row r="320" spans="1:4" x14ac:dyDescent="0.5">
      <c r="B320" s="14" t="str">
        <f>"44443220"</f>
        <v>44443220</v>
      </c>
      <c r="C320" s="15" t="str">
        <f>"VHM-NC-Anbohrer - ø 20,0 mm"</f>
        <v>VHM-NC-Anbohrer - ø 20,0 mm</v>
      </c>
      <c r="D320" s="16">
        <v>11.9</v>
      </c>
    </row>
    <row r="321" spans="1:4" ht="18.899999999999999" thickBot="1" x14ac:dyDescent="0.55000000000000004">
      <c r="A321" s="17"/>
      <c r="B321" s="18" t="str">
        <f>"44443225"</f>
        <v>44443225</v>
      </c>
      <c r="C321" s="19" t="str">
        <f>"VHM-NC-Anbohrer - ø 25,0 mm"</f>
        <v>VHM-NC-Anbohrer - ø 25,0 mm</v>
      </c>
      <c r="D321" s="20">
        <v>11.9</v>
      </c>
    </row>
    <row r="322" spans="1:4" x14ac:dyDescent="0.5">
      <c r="A322" s="12" t="s">
        <v>18</v>
      </c>
      <c r="B322" s="21" t="str">
        <f>"44443306"</f>
        <v>44443306</v>
      </c>
      <c r="C322" s="22" t="str">
        <f>"VHM-Entgrater - ø 6,0 mm"</f>
        <v>VHM-Entgrater - ø 6,0 mm</v>
      </c>
      <c r="D322" s="23">
        <v>5.59</v>
      </c>
    </row>
    <row r="323" spans="1:4" x14ac:dyDescent="0.5">
      <c r="B323" s="14" t="str">
        <f>"44443308"</f>
        <v>44443308</v>
      </c>
      <c r="C323" s="15" t="str">
        <f>"VHM-Entgrater - ø 8,0 mm"</f>
        <v>VHM-Entgrater - ø 8,0 mm</v>
      </c>
      <c r="D323" s="16">
        <v>5.59</v>
      </c>
    </row>
    <row r="324" spans="1:4" x14ac:dyDescent="0.5">
      <c r="B324" s="14" t="str">
        <f>"44443310"</f>
        <v>44443310</v>
      </c>
      <c r="C324" s="15" t="str">
        <f>"VHM-Entgrater - ø 10,0 mm"</f>
        <v>VHM-Entgrater - ø 10,0 mm</v>
      </c>
      <c r="D324" s="16">
        <v>5.59</v>
      </c>
    </row>
    <row r="325" spans="1:4" x14ac:dyDescent="0.5">
      <c r="B325" s="14" t="str">
        <f>"44443312"</f>
        <v>44443312</v>
      </c>
      <c r="C325" s="15" t="str">
        <f>"VHM-Entgrater - ø 12,0 mm"</f>
        <v>VHM-Entgrater - ø 12,0 mm</v>
      </c>
      <c r="D325" s="16">
        <v>8.3800000000000008</v>
      </c>
    </row>
    <row r="326" spans="1:4" x14ac:dyDescent="0.5">
      <c r="B326" s="14" t="str">
        <f>"44443314"</f>
        <v>44443314</v>
      </c>
      <c r="C326" s="15" t="str">
        <f>"VHM-Entgrater - ø 14,0 mm"</f>
        <v>VHM-Entgrater - ø 14,0 mm</v>
      </c>
      <c r="D326" s="16">
        <v>8.3800000000000008</v>
      </c>
    </row>
    <row r="327" spans="1:4" x14ac:dyDescent="0.5">
      <c r="B327" s="14" t="str">
        <f>"44443316"</f>
        <v>44443316</v>
      </c>
      <c r="C327" s="15" t="str">
        <f>"VHM-Entgrater - ø 16,0 mm"</f>
        <v>VHM-Entgrater - ø 16,0 mm</v>
      </c>
      <c r="D327" s="16">
        <v>8.3800000000000008</v>
      </c>
    </row>
    <row r="328" spans="1:4" x14ac:dyDescent="0.5">
      <c r="B328" s="14" t="str">
        <f>"44443318"</f>
        <v>44443318</v>
      </c>
      <c r="C328" s="15" t="str">
        <f>"VHM-Entgrater - ø 18,0 mm"</f>
        <v>VHM-Entgrater - ø 18,0 mm</v>
      </c>
      <c r="D328" s="16">
        <v>8.3800000000000008</v>
      </c>
    </row>
    <row r="329" spans="1:4" ht="18.899999999999999" thickBot="1" x14ac:dyDescent="0.55000000000000004">
      <c r="A329" s="17"/>
      <c r="B329" s="18" t="str">
        <f>"44443320"</f>
        <v>44443320</v>
      </c>
      <c r="C329" s="19" t="str">
        <f>"VHM-Entgrater - ø 20,0 mm"</f>
        <v>VHM-Entgrater - ø 20,0 mm</v>
      </c>
      <c r="D329" s="20">
        <v>10.94</v>
      </c>
    </row>
    <row r="330" spans="1:4" x14ac:dyDescent="0.5">
      <c r="A330" s="12" t="s">
        <v>35</v>
      </c>
      <c r="B330" s="21" t="str">
        <f>"44443406"</f>
        <v>44443406</v>
      </c>
      <c r="C330" s="22" t="str">
        <f>"VHM-Vor-&amp;Rückwärtsentgrater - ø 6,0 mm"</f>
        <v>VHM-Vor-&amp;Rückwärtsentgrater - ø 6,0 mm</v>
      </c>
      <c r="D330" s="23">
        <v>5.59</v>
      </c>
    </row>
    <row r="331" spans="1:4" x14ac:dyDescent="0.5">
      <c r="B331" s="14" t="str">
        <f>"44443408"</f>
        <v>44443408</v>
      </c>
      <c r="C331" s="15" t="str">
        <f>"VHM-Vor-&amp;Rückwärtsentgrater - ø 8,0 mm"</f>
        <v>VHM-Vor-&amp;Rückwärtsentgrater - ø 8,0 mm</v>
      </c>
      <c r="D331" s="16">
        <v>5.59</v>
      </c>
    </row>
    <row r="332" spans="1:4" x14ac:dyDescent="0.5">
      <c r="B332" s="14" t="str">
        <f>"44443410"</f>
        <v>44443410</v>
      </c>
      <c r="C332" s="15" t="str">
        <f>"VHM-Vor-&amp;Rückwärtsentgrater - ø 10,0 mm"</f>
        <v>VHM-Vor-&amp;Rückwärtsentgrater - ø 10,0 mm</v>
      </c>
      <c r="D332" s="16">
        <v>5.59</v>
      </c>
    </row>
    <row r="333" spans="1:4" x14ac:dyDescent="0.5">
      <c r="B333" s="14" t="str">
        <f>"44443412"</f>
        <v>44443412</v>
      </c>
      <c r="C333" s="15" t="str">
        <f>"VHM-Vor-&amp;Rückwärtsentgrater - ø 12,0 mm"</f>
        <v>VHM-Vor-&amp;Rückwärtsentgrater - ø 12,0 mm</v>
      </c>
      <c r="D333" s="16">
        <v>7.9</v>
      </c>
    </row>
    <row r="334" spans="1:4" x14ac:dyDescent="0.5">
      <c r="B334" s="14" t="str">
        <f>"44443414"</f>
        <v>44443414</v>
      </c>
      <c r="C334" s="15" t="str">
        <f>"VHM-Vor-&amp;Rückwärtsentgrater - ø 14,0 mm"</f>
        <v>VHM-Vor-&amp;Rückwärtsentgrater - ø 14,0 mm</v>
      </c>
      <c r="D334" s="16">
        <v>14.45</v>
      </c>
    </row>
    <row r="335" spans="1:4" ht="18.899999999999999" thickBot="1" x14ac:dyDescent="0.55000000000000004">
      <c r="A335" s="17"/>
      <c r="B335" s="18" t="str">
        <f>"44443416"</f>
        <v>44443416</v>
      </c>
      <c r="C335" s="19" t="str">
        <f>"VHM-Vor-&amp;Rückwärtsentgrater - ø 16,0 mm"</f>
        <v>VHM-Vor-&amp;Rückwärtsentgrater - ø 16,0 mm</v>
      </c>
      <c r="D335" s="20">
        <v>16.88</v>
      </c>
    </row>
    <row r="336" spans="1:4" x14ac:dyDescent="0.5">
      <c r="A336" s="12" t="s">
        <v>36</v>
      </c>
      <c r="B336" s="21" t="str">
        <f>"44443510"</f>
        <v>44443510</v>
      </c>
      <c r="C336" s="22" t="str">
        <f>"HSS-Spiralbohrer - ø 10 mm"</f>
        <v>HSS-Spiralbohrer - ø 10 mm</v>
      </c>
      <c r="D336" s="23">
        <v>2.4300000000000002</v>
      </c>
    </row>
    <row r="337" spans="1:4" x14ac:dyDescent="0.5">
      <c r="B337" s="14" t="str">
        <f>"44443519"</f>
        <v>44443519</v>
      </c>
      <c r="C337" s="15" t="str">
        <f>"HSS-Spiralbohrer - ø 19 mm"</f>
        <v>HSS-Spiralbohrer - ø 19 mm</v>
      </c>
      <c r="D337" s="16">
        <v>3.7</v>
      </c>
    </row>
    <row r="338" spans="1:4" x14ac:dyDescent="0.5">
      <c r="B338" s="14" t="str">
        <f>"44443529"</f>
        <v>44443529</v>
      </c>
      <c r="C338" s="15" t="str">
        <f>"HSS-Spiralbohrer - ø 29 mm"</f>
        <v>HSS-Spiralbohrer - ø 29 mm</v>
      </c>
      <c r="D338" s="16">
        <v>5.72</v>
      </c>
    </row>
    <row r="339" spans="1:4" x14ac:dyDescent="0.5">
      <c r="B339" s="14" t="str">
        <f>"44443539"</f>
        <v>44443539</v>
      </c>
      <c r="C339" s="15" t="str">
        <f>"HSS-Spiralbohrer - ø 39 mm"</f>
        <v>HSS-Spiralbohrer - ø 39 mm</v>
      </c>
      <c r="D339" s="16">
        <v>8.68</v>
      </c>
    </row>
    <row r="340" spans="1:4" x14ac:dyDescent="0.5">
      <c r="B340" s="14" t="str">
        <f>"44443549"</f>
        <v>44443549</v>
      </c>
      <c r="C340" s="15" t="str">
        <f>"HSS-Spiralbohrer - ø 49 mm"</f>
        <v>HSS-Spiralbohrer - ø 49 mm</v>
      </c>
      <c r="D340" s="16">
        <v>9.9</v>
      </c>
    </row>
    <row r="341" spans="1:4" ht="18.899999999999999" thickBot="1" x14ac:dyDescent="0.55000000000000004">
      <c r="A341" s="17"/>
      <c r="B341" s="18" t="str">
        <f>"44443559"</f>
        <v>44443559</v>
      </c>
      <c r="C341" s="19" t="str">
        <f>"HSS-Spiralbohrer - ø 59 mm"</f>
        <v>HSS-Spiralbohrer - ø 59 mm</v>
      </c>
      <c r="D341" s="20">
        <v>13.48</v>
      </c>
    </row>
    <row r="342" spans="1:4" x14ac:dyDescent="0.5">
      <c r="A342" s="12" t="s">
        <v>37</v>
      </c>
      <c r="B342" s="21" t="str">
        <f>"44443610"</f>
        <v>44443610</v>
      </c>
      <c r="C342" s="22" t="str">
        <f>"HSS-Spiralbohrer Neuanschliff  - ø 10 mm"</f>
        <v>HSS-Spiralbohrer Neuanschliff  - ø 10 mm</v>
      </c>
      <c r="D342" s="23">
        <v>3.65</v>
      </c>
    </row>
    <row r="343" spans="1:4" x14ac:dyDescent="0.5">
      <c r="B343" s="14" t="str">
        <f>"44443619"</f>
        <v>44443619</v>
      </c>
      <c r="C343" s="15" t="str">
        <f>"HSS-Spiralbohrer Neuanschliff- ø 19 mm"</f>
        <v>HSS-Spiralbohrer Neuanschliff- ø 19 mm</v>
      </c>
      <c r="D343" s="16">
        <v>5.52</v>
      </c>
    </row>
    <row r="344" spans="1:4" x14ac:dyDescent="0.5">
      <c r="B344" s="14" t="str">
        <f>"44443629"</f>
        <v>44443629</v>
      </c>
      <c r="C344" s="15" t="str">
        <f>"HSS-Spiralbohrer Neuanschliff - ø 29 mm"</f>
        <v>HSS-Spiralbohrer Neuanschliff - ø 29 mm</v>
      </c>
      <c r="D344" s="16">
        <v>8.6300000000000008</v>
      </c>
    </row>
    <row r="345" spans="1:4" x14ac:dyDescent="0.5">
      <c r="B345" s="14" t="str">
        <f>"44443639"</f>
        <v>44443639</v>
      </c>
      <c r="C345" s="15" t="str">
        <f>"HSS-Spiralbohrer Neuanschliff- ø 39 mm"</f>
        <v>HSS-Spiralbohrer Neuanschliff- ø 39 mm</v>
      </c>
      <c r="D345" s="16">
        <v>13</v>
      </c>
    </row>
    <row r="346" spans="1:4" x14ac:dyDescent="0.5">
      <c r="B346" s="14" t="str">
        <f>"44443649"</f>
        <v>44443649</v>
      </c>
      <c r="C346" s="15" t="str">
        <f>"HSS-Spiralbohrer Neuanschliff- ø 49 mm"</f>
        <v>HSS-Spiralbohrer Neuanschliff- ø 49 mm</v>
      </c>
      <c r="D346" s="16">
        <v>14.82</v>
      </c>
    </row>
    <row r="347" spans="1:4" ht="18.899999999999999" thickBot="1" x14ac:dyDescent="0.55000000000000004">
      <c r="A347" s="17"/>
      <c r="B347" s="18" t="str">
        <f>"44443659"</f>
        <v>44443659</v>
      </c>
      <c r="C347" s="19" t="str">
        <f>"HSS-Spiralbohrer Neuanschliff- ø 59 mm"</f>
        <v>HSS-Spiralbohrer Neuanschliff- ø 59 mm</v>
      </c>
      <c r="D347" s="20">
        <v>20.21</v>
      </c>
    </row>
    <row r="348" spans="1:4" x14ac:dyDescent="0.5">
      <c r="A348" s="12" t="s">
        <v>38</v>
      </c>
      <c r="B348" s="21" t="str">
        <f>"44443710"</f>
        <v>44443710</v>
      </c>
      <c r="C348" s="22" t="str">
        <f>"HSS-Spiralbohrer - ø 10 mm"</f>
        <v>HSS-Spiralbohrer - ø 10 mm</v>
      </c>
      <c r="D348" s="23">
        <v>4.8600000000000003</v>
      </c>
    </row>
    <row r="349" spans="1:4" x14ac:dyDescent="0.5">
      <c r="B349" s="14" t="str">
        <f>"44443719"</f>
        <v>44443719</v>
      </c>
      <c r="C349" s="15" t="str">
        <f>"HSS-Spiralbohrer - ø 19 mm"</f>
        <v>HSS-Spiralbohrer - ø 19 mm</v>
      </c>
      <c r="D349" s="16">
        <v>7.9</v>
      </c>
    </row>
    <row r="350" spans="1:4" x14ac:dyDescent="0.5">
      <c r="B350" s="14" t="str">
        <f>"44443729"</f>
        <v>44443729</v>
      </c>
      <c r="C350" s="15" t="str">
        <f>"HSS-Spiralbohrer - ø 29 mm"</f>
        <v>HSS-Spiralbohrer - ø 29 mm</v>
      </c>
      <c r="D350" s="16">
        <v>11.48</v>
      </c>
    </row>
    <row r="351" spans="1:4" x14ac:dyDescent="0.5">
      <c r="B351" s="14" t="str">
        <f>"44443739"</f>
        <v>44443739</v>
      </c>
      <c r="C351" s="15" t="str">
        <f>"HSS-Spiralbohrer - ø 39 mm"</f>
        <v>HSS-Spiralbohrer - ø 39 mm</v>
      </c>
      <c r="D351" s="16">
        <v>16.45</v>
      </c>
    </row>
    <row r="352" spans="1:4" x14ac:dyDescent="0.5">
      <c r="B352" s="14" t="str">
        <f>"44443749"</f>
        <v>44443749</v>
      </c>
      <c r="C352" s="15" t="str">
        <f>"HSS-Spiralbohrer - ø 49 mm"</f>
        <v>HSS-Spiralbohrer - ø 49 mm</v>
      </c>
      <c r="D352" s="16">
        <v>19.8</v>
      </c>
    </row>
    <row r="353" spans="1:4" ht="18.899999999999999" thickBot="1" x14ac:dyDescent="0.55000000000000004">
      <c r="A353" s="17"/>
      <c r="B353" s="18" t="str">
        <f>"44443759"</f>
        <v>44443759</v>
      </c>
      <c r="C353" s="19" t="str">
        <f>"HSS-Spiralbohrer - ø 59 mm"</f>
        <v>HSS-Spiralbohrer - ø 59 mm</v>
      </c>
      <c r="D353" s="20">
        <v>26.95</v>
      </c>
    </row>
    <row r="354" spans="1:4" x14ac:dyDescent="0.5">
      <c r="A354" s="12" t="s">
        <v>39</v>
      </c>
      <c r="B354" s="21" t="str">
        <f>"44443810"</f>
        <v>44443810</v>
      </c>
      <c r="C354" s="22" t="str">
        <f>"HSS-Schälaufbohrer - ø 10 mm"</f>
        <v>HSS-Schälaufbohrer - ø 10 mm</v>
      </c>
      <c r="D354" s="23">
        <v>7.47</v>
      </c>
    </row>
    <row r="355" spans="1:4" x14ac:dyDescent="0.5">
      <c r="B355" s="14" t="str">
        <f>"44443819"</f>
        <v>44443819</v>
      </c>
      <c r="C355" s="15" t="str">
        <f>"HSS-Schälaufbohrer - ø 19 mm"</f>
        <v>HSS-Schälaufbohrer - ø 19 mm</v>
      </c>
      <c r="D355" s="16">
        <v>7.47</v>
      </c>
    </row>
    <row r="356" spans="1:4" x14ac:dyDescent="0.5">
      <c r="B356" s="14" t="str">
        <f>"44443829"</f>
        <v>44443829</v>
      </c>
      <c r="C356" s="15" t="str">
        <f>"HSS-Schälaufbohrer - ø 29 mm"</f>
        <v>HSS-Schälaufbohrer - ø 29 mm</v>
      </c>
      <c r="D356" s="16">
        <v>11.48</v>
      </c>
    </row>
    <row r="357" spans="1:4" x14ac:dyDescent="0.5">
      <c r="B357" s="14" t="str">
        <f>"44443839"</f>
        <v>44443839</v>
      </c>
      <c r="C357" s="15" t="str">
        <f>"HSS-Schälaufbohrer - ø 39 mm"</f>
        <v>HSS-Schälaufbohrer - ø 39 mm</v>
      </c>
      <c r="D357" s="16">
        <v>16.45</v>
      </c>
    </row>
    <row r="358" spans="1:4" x14ac:dyDescent="0.5">
      <c r="B358" s="14" t="str">
        <f>"44443849"</f>
        <v>44443849</v>
      </c>
      <c r="C358" s="15" t="str">
        <f>"HSS-Schälaufbohrer - ø 49 mm"</f>
        <v>HSS-Schälaufbohrer - ø 49 mm</v>
      </c>
      <c r="D358" s="16">
        <v>19.8</v>
      </c>
    </row>
    <row r="359" spans="1:4" ht="18.899999999999999" thickBot="1" x14ac:dyDescent="0.55000000000000004">
      <c r="A359" s="17"/>
      <c r="B359" s="18" t="str">
        <f>"44443859"</f>
        <v>44443859</v>
      </c>
      <c r="C359" s="19" t="str">
        <f>"HSS-Schälaufbohrer - ø 59 mm"</f>
        <v>HSS-Schälaufbohrer - ø 59 mm</v>
      </c>
      <c r="D359" s="20">
        <v>26.95</v>
      </c>
    </row>
    <row r="360" spans="1:4" x14ac:dyDescent="0.5">
      <c r="A360" s="12" t="s">
        <v>40</v>
      </c>
      <c r="B360" s="21" t="str">
        <f>"44443910"</f>
        <v>44443910</v>
      </c>
      <c r="C360" s="22" t="str">
        <f>"HSS-Gewindebohrer - ø 10 mm"</f>
        <v>HSS-Gewindebohrer - ø 10 mm</v>
      </c>
      <c r="D360" s="23">
        <v>5.28</v>
      </c>
    </row>
    <row r="361" spans="1:4" x14ac:dyDescent="0.5">
      <c r="B361" s="14" t="str">
        <f>"44443914"</f>
        <v>44443914</v>
      </c>
      <c r="C361" s="15" t="str">
        <f>"HSS-Gewindebohrer - ø 14 mm"</f>
        <v>HSS-Gewindebohrer - ø 14 mm</v>
      </c>
      <c r="D361" s="16">
        <v>7.16</v>
      </c>
    </row>
    <row r="362" spans="1:4" x14ac:dyDescent="0.5">
      <c r="B362" s="14" t="str">
        <f>"44443920"</f>
        <v>44443920</v>
      </c>
      <c r="C362" s="15" t="str">
        <f>"HSS-Gewindebohrer - ø 20 mm"</f>
        <v>HSS-Gewindebohrer - ø 20 mm</v>
      </c>
      <c r="D362" s="16">
        <v>10.26</v>
      </c>
    </row>
    <row r="363" spans="1:4" x14ac:dyDescent="0.5">
      <c r="B363" s="14" t="str">
        <f>"44443924"</f>
        <v>44443924</v>
      </c>
      <c r="C363" s="15" t="str">
        <f>"HSS-Gewindebohrer - ø 24 mm"</f>
        <v>HSS-Gewindebohrer - ø 24 mm</v>
      </c>
      <c r="D363" s="16">
        <v>12.45</v>
      </c>
    </row>
    <row r="364" spans="1:4" x14ac:dyDescent="0.5">
      <c r="B364" s="14" t="str">
        <f>"44443930"</f>
        <v>44443930</v>
      </c>
      <c r="C364" s="15" t="str">
        <f>"HSS-Gewindebohrer - ø 30 mm"</f>
        <v>HSS-Gewindebohrer - ø 30 mm</v>
      </c>
      <c r="D364" s="16">
        <v>15.54</v>
      </c>
    </row>
    <row r="365" spans="1:4" x14ac:dyDescent="0.5">
      <c r="B365" s="14" t="str">
        <f>"44443940"</f>
        <v>44443940</v>
      </c>
      <c r="C365" s="15" t="str">
        <f>"HSS-Gewindebohrer - ø 40 mm"</f>
        <v>HSS-Gewindebohrer - ø 40 mm</v>
      </c>
      <c r="D365" s="16">
        <v>22.04</v>
      </c>
    </row>
    <row r="366" spans="1:4" ht="18.899999999999999" thickBot="1" x14ac:dyDescent="0.55000000000000004">
      <c r="A366" s="17"/>
      <c r="B366" s="18" t="str">
        <f>"44443950"</f>
        <v>44443950</v>
      </c>
      <c r="C366" s="19" t="str">
        <f>"HSS-Gewindebohrer - ø 50 mm"</f>
        <v>HSS-Gewindebohrer - ø 50 mm</v>
      </c>
      <c r="D366" s="20">
        <v>32.6</v>
      </c>
    </row>
    <row r="367" spans="1:4" x14ac:dyDescent="0.5">
      <c r="A367" s="12" t="s">
        <v>41</v>
      </c>
      <c r="B367" s="21" t="str">
        <f>"44444010"</f>
        <v>44444010</v>
      </c>
      <c r="C367" s="22" t="str">
        <f>"HSS-Gewindebohrer - ø 10 mm"</f>
        <v>HSS-Gewindebohrer - ø 10 mm</v>
      </c>
      <c r="D367" s="23">
        <v>9.3000000000000007</v>
      </c>
    </row>
    <row r="368" spans="1:4" x14ac:dyDescent="0.5">
      <c r="B368" s="14" t="str">
        <f>"44444014"</f>
        <v>44444014</v>
      </c>
      <c r="C368" s="15" t="str">
        <f>"HSS-Gewindebohrer - ø 14 mm"</f>
        <v>HSS-Gewindebohrer - ø 14 mm</v>
      </c>
      <c r="D368" s="16">
        <v>9.7200000000000006</v>
      </c>
    </row>
    <row r="369" spans="1:4" x14ac:dyDescent="0.5">
      <c r="B369" s="14" t="str">
        <f>"44444020"</f>
        <v>44444020</v>
      </c>
      <c r="C369" s="15" t="str">
        <f>"HSS-Gewindebohrer - ø 20 mm"</f>
        <v>HSS-Gewindebohrer - ø 20 mm</v>
      </c>
      <c r="D369" s="16">
        <v>13.96</v>
      </c>
    </row>
    <row r="370" spans="1:4" x14ac:dyDescent="0.5">
      <c r="B370" s="14" t="str">
        <f>"44444024"</f>
        <v>44444024</v>
      </c>
      <c r="C370" s="15" t="str">
        <f>"HSS-Gewindebohrer - ø 24 mm"</f>
        <v>HSS-Gewindebohrer - ø 24 mm</v>
      </c>
      <c r="D370" s="16">
        <v>17.73</v>
      </c>
    </row>
    <row r="371" spans="1:4" x14ac:dyDescent="0.5">
      <c r="B371" s="14" t="str">
        <f>"44444030"</f>
        <v>44444030</v>
      </c>
      <c r="C371" s="15" t="str">
        <f>"HSS-Gewindebohrer - ø 30 mm"</f>
        <v>HSS-Gewindebohrer - ø 30 mm</v>
      </c>
      <c r="D371" s="16">
        <v>19.920000000000002</v>
      </c>
    </row>
    <row r="372" spans="1:4" x14ac:dyDescent="0.5">
      <c r="B372" s="14" t="str">
        <f>"44444040"</f>
        <v>44444040</v>
      </c>
      <c r="C372" s="15" t="str">
        <f>"HSS-Gewindebohrer - ø 40 mm"</f>
        <v>HSS-Gewindebohrer - ø 40 mm</v>
      </c>
      <c r="D372" s="16">
        <v>27.93</v>
      </c>
    </row>
    <row r="373" spans="1:4" ht="18.899999999999999" thickBot="1" x14ac:dyDescent="0.55000000000000004">
      <c r="A373" s="17"/>
      <c r="B373" s="18" t="str">
        <f>"44444050"</f>
        <v>44444050</v>
      </c>
      <c r="C373" s="19" t="str">
        <f>"HSS-Gewindebohrer - ø 50 mm"</f>
        <v>HSS-Gewindebohrer - ø 50 mm</v>
      </c>
      <c r="D373" s="20">
        <v>40.380000000000003</v>
      </c>
    </row>
    <row r="374" spans="1:4" x14ac:dyDescent="0.5">
      <c r="A374" s="12" t="s">
        <v>42</v>
      </c>
      <c r="B374" s="21" t="str">
        <f>"444441100"</f>
        <v>444441100</v>
      </c>
      <c r="C374" s="22" t="str">
        <f>"HSS-Metallkreissägeblatt - ø 100 mm"</f>
        <v>HSS-Metallkreissägeblatt - ø 100 mm</v>
      </c>
      <c r="D374" s="23">
        <v>7.11</v>
      </c>
    </row>
    <row r="375" spans="1:4" x14ac:dyDescent="0.5">
      <c r="B375" s="14" t="str">
        <f>"444441150"</f>
        <v>444441150</v>
      </c>
      <c r="C375" s="15" t="str">
        <f>"HSS-Metallkreissägeblatt - ø 150 mm"</f>
        <v>HSS-Metallkreissägeblatt - ø 150 mm</v>
      </c>
      <c r="D375" s="16">
        <v>9.83</v>
      </c>
    </row>
    <row r="376" spans="1:4" x14ac:dyDescent="0.5">
      <c r="B376" s="14" t="str">
        <f>"444441200"</f>
        <v>444441200</v>
      </c>
      <c r="C376" s="15" t="str">
        <f>"HSS-Metallkreissägeblatt - ø 200 mm"</f>
        <v>HSS-Metallkreissägeblatt - ø 200 mm</v>
      </c>
      <c r="D376" s="16">
        <v>10.87</v>
      </c>
    </row>
    <row r="377" spans="1:4" x14ac:dyDescent="0.5">
      <c r="B377" s="14" t="str">
        <f>"444441250"</f>
        <v>444441250</v>
      </c>
      <c r="C377" s="15" t="str">
        <f>"HSS-Metallkreissägeblatt - ø 250 mm"</f>
        <v>HSS-Metallkreissägeblatt - ø 250 mm</v>
      </c>
      <c r="D377" s="16">
        <v>12.89</v>
      </c>
    </row>
    <row r="378" spans="1:4" x14ac:dyDescent="0.5">
      <c r="B378" s="14" t="str">
        <f>"444441275"</f>
        <v>444441275</v>
      </c>
      <c r="C378" s="15" t="str">
        <f>"HSS-Metallkreissägeblatt - ø 275 mm"</f>
        <v>HSS-Metallkreissägeblatt - ø 275 mm</v>
      </c>
      <c r="D378" s="16">
        <v>14.83</v>
      </c>
    </row>
    <row r="379" spans="1:4" x14ac:dyDescent="0.5">
      <c r="B379" s="14" t="str">
        <f>"444441315"</f>
        <v>444441315</v>
      </c>
      <c r="C379" s="15" t="str">
        <f>"HSS-Metallkreissägeblatt - ø 315 mm"</f>
        <v>HSS-Metallkreissägeblatt - ø 315 mm</v>
      </c>
      <c r="D379" s="16">
        <v>17</v>
      </c>
    </row>
    <row r="380" spans="1:4" x14ac:dyDescent="0.5">
      <c r="B380" s="14" t="str">
        <f>"444441370"</f>
        <v>444441370</v>
      </c>
      <c r="C380" s="15" t="str">
        <f>"HSS-Metallkreissägeblatt - ø 370 mm"</f>
        <v>HSS-Metallkreissägeblatt - ø 370 mm</v>
      </c>
      <c r="D380" s="16">
        <v>20.52</v>
      </c>
    </row>
    <row r="381" spans="1:4" x14ac:dyDescent="0.5">
      <c r="B381" s="14" t="str">
        <f>"444441425"</f>
        <v>444441425</v>
      </c>
      <c r="C381" s="15" t="str">
        <f>"HSS-Metallkreissägeblatt - ø 425 mm"</f>
        <v>HSS-Metallkreissägeblatt - ø 425 mm</v>
      </c>
      <c r="D381" s="16">
        <v>24.13</v>
      </c>
    </row>
    <row r="382" spans="1:4" ht="18.899999999999999" thickBot="1" x14ac:dyDescent="0.55000000000000004">
      <c r="A382" s="17"/>
      <c r="B382" s="18" t="str">
        <f>"444441500"</f>
        <v>444441500</v>
      </c>
      <c r="C382" s="19" t="str">
        <f>"HSS-Metallkreissägeblatt - ø 500 mm"</f>
        <v>HSS-Metallkreissägeblatt - ø 500 mm</v>
      </c>
      <c r="D382" s="20">
        <v>27.08</v>
      </c>
    </row>
    <row r="383" spans="1:4" x14ac:dyDescent="0.5">
      <c r="A383" s="12" t="s">
        <v>22</v>
      </c>
      <c r="B383" s="21" t="str">
        <f>"444442100"</f>
        <v>444442100</v>
      </c>
      <c r="C383" s="22" t="str">
        <f>"HSS-Metallkreissägeblatt - ø 100 mm"</f>
        <v>HSS-Metallkreissägeblatt - ø 100 mm</v>
      </c>
      <c r="D383" s="23">
        <v>9.94</v>
      </c>
    </row>
    <row r="384" spans="1:4" x14ac:dyDescent="0.5">
      <c r="B384" s="14" t="str">
        <f>"444442150"</f>
        <v>444442150</v>
      </c>
      <c r="C384" s="15" t="str">
        <f>"HSS-Metallkreissägeblatt - ø 150 mm"</f>
        <v>HSS-Metallkreissägeblatt - ø 150 mm</v>
      </c>
      <c r="D384" s="16">
        <v>13.77</v>
      </c>
    </row>
    <row r="385" spans="1:4" x14ac:dyDescent="0.5">
      <c r="B385" s="14" t="str">
        <f>"444442200"</f>
        <v>444442200</v>
      </c>
      <c r="C385" s="15" t="str">
        <f>"HSS-Metallkreissägeblatt - ø 200 mm"</f>
        <v>HSS-Metallkreissägeblatt - ø 200 mm</v>
      </c>
      <c r="D385" s="16">
        <v>15.22</v>
      </c>
    </row>
    <row r="386" spans="1:4" x14ac:dyDescent="0.5">
      <c r="B386" s="14" t="str">
        <f>"444442250"</f>
        <v>444442250</v>
      </c>
      <c r="C386" s="15" t="str">
        <f>"HSS-Metallkreissägeblatt - ø 250 mm"</f>
        <v>HSS-Metallkreissägeblatt - ø 250 mm</v>
      </c>
      <c r="D386" s="16">
        <v>18.04</v>
      </c>
    </row>
    <row r="387" spans="1:4" x14ac:dyDescent="0.5">
      <c r="B387" s="14" t="str">
        <f>"444442275"</f>
        <v>444442275</v>
      </c>
      <c r="C387" s="15" t="str">
        <f>"HSS-Metallkreissägeblatt - ø 275 mm"</f>
        <v>HSS-Metallkreissägeblatt - ø 275 mm</v>
      </c>
      <c r="D387" s="16">
        <v>20.76</v>
      </c>
    </row>
    <row r="388" spans="1:4" x14ac:dyDescent="0.5">
      <c r="B388" s="14" t="str">
        <f>"444442315"</f>
        <v>444442315</v>
      </c>
      <c r="C388" s="15" t="str">
        <f>"HSS-Metallkreissägeblatt - ø 315 mm"</f>
        <v>HSS-Metallkreissägeblatt - ø 315 mm</v>
      </c>
      <c r="D388" s="16">
        <v>23.71</v>
      </c>
    </row>
    <row r="389" spans="1:4" x14ac:dyDescent="0.5">
      <c r="B389" s="14" t="str">
        <f>"444442370"</f>
        <v>444442370</v>
      </c>
      <c r="C389" s="15" t="str">
        <f>"HSS-Metallkreissägeblatt - ø 370 mm"</f>
        <v>HSS-Metallkreissägeblatt - ø 370 mm</v>
      </c>
      <c r="D389" s="16">
        <v>28.75</v>
      </c>
    </row>
    <row r="390" spans="1:4" x14ac:dyDescent="0.5">
      <c r="B390" s="14" t="str">
        <f>"444442425"</f>
        <v>444442425</v>
      </c>
      <c r="C390" s="15" t="str">
        <f>"HSS-Metallkreissägeblatt - ø 425 mm"</f>
        <v>HSS-Metallkreissägeblatt - ø 425 mm</v>
      </c>
      <c r="D390" s="16">
        <v>33.78</v>
      </c>
    </row>
    <row r="391" spans="1:4" ht="18.899999999999999" thickBot="1" x14ac:dyDescent="0.55000000000000004">
      <c r="A391" s="17"/>
      <c r="B391" s="18" t="str">
        <f>"444442500"</f>
        <v>444442500</v>
      </c>
      <c r="C391" s="19" t="str">
        <f>"HSS-Metallkreissägeblatt - ø 500 mm"</f>
        <v>HSS-Metallkreissägeblatt - ø 500 mm</v>
      </c>
      <c r="D391" s="20">
        <v>37.869999999999997</v>
      </c>
    </row>
    <row r="392" spans="1:4" x14ac:dyDescent="0.5">
      <c r="A392" s="12" t="s">
        <v>43</v>
      </c>
      <c r="B392" s="21" t="str">
        <f>"444443100"</f>
        <v>444443100</v>
      </c>
      <c r="C392" s="22" t="str">
        <f>"HSS-Metallkreissägeblatt - ø 100 mm"</f>
        <v>HSS-Metallkreissägeblatt - ø 100 mm</v>
      </c>
      <c r="D392" s="23">
        <v>12.79</v>
      </c>
    </row>
    <row r="393" spans="1:4" x14ac:dyDescent="0.5">
      <c r="B393" s="14" t="str">
        <f>"444443150"</f>
        <v>444443150</v>
      </c>
      <c r="C393" s="15" t="str">
        <f>"HSS-Metallkreissägeblatt - ø 150 mm"</f>
        <v>HSS-Metallkreissägeblatt - ø 150 mm</v>
      </c>
      <c r="D393" s="16">
        <v>17.7</v>
      </c>
    </row>
    <row r="394" spans="1:4" x14ac:dyDescent="0.5">
      <c r="B394" s="14" t="str">
        <f>"444443200"</f>
        <v>444443200</v>
      </c>
      <c r="C394" s="15" t="str">
        <f>"HSS-Metallkreissägeblatt - ø 200 mm"</f>
        <v>HSS-Metallkreissägeblatt - ø 200 mm</v>
      </c>
      <c r="D394" s="16">
        <v>19.54</v>
      </c>
    </row>
    <row r="395" spans="1:4" x14ac:dyDescent="0.5">
      <c r="B395" s="14" t="str">
        <f>"444443250"</f>
        <v>444443250</v>
      </c>
      <c r="C395" s="15" t="str">
        <f>"HSS-Metallkreissägeblatt - ø 250 mm"</f>
        <v>HSS-Metallkreissägeblatt - ø 250 mm</v>
      </c>
      <c r="D395" s="16">
        <v>23.19</v>
      </c>
    </row>
    <row r="396" spans="1:4" x14ac:dyDescent="0.5">
      <c r="B396" s="14" t="str">
        <f>"444443275"</f>
        <v>444443275</v>
      </c>
      <c r="C396" s="15" t="str">
        <f>"HSS-Metallkreissägeblatt - ø 275 mm"</f>
        <v>HSS-Metallkreissägeblatt - ø 275 mm</v>
      </c>
      <c r="D396" s="16">
        <v>26.71</v>
      </c>
    </row>
    <row r="397" spans="1:4" x14ac:dyDescent="0.5">
      <c r="B397" s="14" t="str">
        <f>"444443315"</f>
        <v>444443315</v>
      </c>
      <c r="C397" s="15" t="str">
        <f>"HSS-Metallkreissägeblatt - ø 315 mm"</f>
        <v>HSS-Metallkreissägeblatt - ø 315 mm</v>
      </c>
      <c r="D397" s="16">
        <v>30.59</v>
      </c>
    </row>
    <row r="398" spans="1:4" x14ac:dyDescent="0.5">
      <c r="B398" s="14" t="str">
        <f>"444443370"</f>
        <v>444443370</v>
      </c>
      <c r="C398" s="15" t="str">
        <f>"HSS-Metallkreissägeblatt - ø 370 mm"</f>
        <v>HSS-Metallkreissägeblatt - ø 370 mm</v>
      </c>
      <c r="D398" s="16">
        <v>36.94</v>
      </c>
    </row>
    <row r="399" spans="1:4" x14ac:dyDescent="0.5">
      <c r="B399" s="14" t="str">
        <f>"444443425"</f>
        <v>444443425</v>
      </c>
      <c r="C399" s="15" t="str">
        <f>"HSS-Metallkreissägeblatt - ø 425 mm"</f>
        <v>HSS-Metallkreissägeblatt - ø 425 mm</v>
      </c>
      <c r="D399" s="16">
        <v>43.37</v>
      </c>
    </row>
    <row r="400" spans="1:4" ht="18.899999999999999" thickBot="1" x14ac:dyDescent="0.55000000000000004">
      <c r="A400" s="17"/>
      <c r="B400" s="18" t="str">
        <f>"444443500"</f>
        <v>444443500</v>
      </c>
      <c r="C400" s="19" t="str">
        <f>"HSS-Metallkreissägeblatt - ø 500 mm"</f>
        <v>HSS-Metallkreissägeblatt - ø 500 mm</v>
      </c>
      <c r="D400" s="20">
        <v>48.69</v>
      </c>
    </row>
    <row r="401" spans="1:4" x14ac:dyDescent="0.5">
      <c r="A401" s="12" t="s">
        <v>44</v>
      </c>
      <c r="B401" s="21" t="str">
        <f>"44444450"</f>
        <v>44444450</v>
      </c>
      <c r="C401" s="22" t="str">
        <f>"VHM-Metallkreissägeblätter - ø 50 mm"</f>
        <v>VHM-Metallkreissägeblätter - ø 50 mm</v>
      </c>
      <c r="D401" s="23">
        <v>21.26</v>
      </c>
    </row>
    <row r="402" spans="1:4" x14ac:dyDescent="0.5">
      <c r="B402" s="14" t="str">
        <f>"44444463"</f>
        <v>44444463</v>
      </c>
      <c r="C402" s="15" t="str">
        <f>"VHM-Metallkreissägeblätter - ø 63 mm"</f>
        <v>VHM-Metallkreissägeblätter - ø 63 mm</v>
      </c>
      <c r="D402" s="16">
        <v>22.47</v>
      </c>
    </row>
    <row r="403" spans="1:4" x14ac:dyDescent="0.5">
      <c r="B403" s="14" t="str">
        <f>"44444480"</f>
        <v>44444480</v>
      </c>
      <c r="C403" s="15" t="str">
        <f>"VHM-Metallkreissägeblätter - ø 80 mm"</f>
        <v>VHM-Metallkreissägeblätter - ø 80 mm</v>
      </c>
      <c r="D403" s="16">
        <v>23.69</v>
      </c>
    </row>
    <row r="404" spans="1:4" x14ac:dyDescent="0.5">
      <c r="B404" s="14" t="str">
        <f>"444444100"</f>
        <v>444444100</v>
      </c>
      <c r="C404" s="15" t="str">
        <f>"VHM-Metallkreissägeblätter - ø 100 mm"</f>
        <v>VHM-Metallkreissägeblätter - ø 100 mm</v>
      </c>
      <c r="D404" s="16">
        <v>31.46</v>
      </c>
    </row>
    <row r="405" spans="1:4" x14ac:dyDescent="0.5">
      <c r="B405" s="14" t="str">
        <f>"444444125"</f>
        <v>444444125</v>
      </c>
      <c r="C405" s="15" t="str">
        <f>"VHM-Metallkreissägeblätter - ø 125 mm"</f>
        <v>VHM-Metallkreissägeblätter - ø 125 mm</v>
      </c>
      <c r="D405" s="16">
        <v>54.65</v>
      </c>
    </row>
    <row r="406" spans="1:4" ht="18.899999999999999" thickBot="1" x14ac:dyDescent="0.55000000000000004">
      <c r="A406" s="17"/>
      <c r="B406" s="18" t="str">
        <f>"444444200"</f>
        <v>444444200</v>
      </c>
      <c r="C406" s="19" t="str">
        <f>"VHM-Metallkreissägeblätter - ø 200 mm"</f>
        <v>VHM-Metallkreissägeblätter - ø 200 mm</v>
      </c>
      <c r="D406" s="20">
        <v>60.6</v>
      </c>
    </row>
    <row r="407" spans="1:4" x14ac:dyDescent="0.5">
      <c r="A407" s="12" t="s">
        <v>45</v>
      </c>
      <c r="B407" s="21" t="str">
        <f>"44444550"</f>
        <v>44444550</v>
      </c>
      <c r="C407" s="22" t="str">
        <f>"VHM-Metallkreissägeblätter - ø 50 mm"</f>
        <v>VHM-Metallkreissägeblätter - ø 50 mm</v>
      </c>
      <c r="D407" s="23">
        <v>27.63</v>
      </c>
    </row>
    <row r="408" spans="1:4" x14ac:dyDescent="0.5">
      <c r="B408" s="14" t="str">
        <f>"44444563"</f>
        <v>44444563</v>
      </c>
      <c r="C408" s="15" t="str">
        <f>"VHM-Metallkreissägeblätter - ø 63 mm"</f>
        <v>VHM-Metallkreissägeblätter - ø 63 mm</v>
      </c>
      <c r="D408" s="16">
        <v>29.22</v>
      </c>
    </row>
    <row r="409" spans="1:4" x14ac:dyDescent="0.5">
      <c r="B409" s="14" t="str">
        <f>"44444580"</f>
        <v>44444580</v>
      </c>
      <c r="C409" s="15" t="str">
        <f>"VHM-Metallkreissägeblätter - ø 80 mm"</f>
        <v>VHM-Metallkreissägeblätter - ø 80 mm</v>
      </c>
      <c r="D409" s="16">
        <v>30.79</v>
      </c>
    </row>
    <row r="410" spans="1:4" x14ac:dyDescent="0.5">
      <c r="B410" s="14" t="str">
        <f>"444445100"</f>
        <v>444445100</v>
      </c>
      <c r="C410" s="15" t="str">
        <f>"VHM-Metallkreissägeblätter - ø 100 mm"</f>
        <v>VHM-Metallkreissägeblätter - ø 100 mm</v>
      </c>
      <c r="D410" s="16">
        <v>41.18</v>
      </c>
    </row>
    <row r="411" spans="1:4" x14ac:dyDescent="0.5">
      <c r="B411" s="14" t="str">
        <f>"444445125"</f>
        <v>444445125</v>
      </c>
      <c r="C411" s="15" t="str">
        <f>"VHM-Metallkreissägeblätter - ø 125 mm"</f>
        <v>VHM-Metallkreissägeblätter - ø 125 mm</v>
      </c>
      <c r="D411" s="16">
        <v>71.05</v>
      </c>
    </row>
    <row r="412" spans="1:4" ht="18.899999999999999" thickBot="1" x14ac:dyDescent="0.55000000000000004">
      <c r="A412" s="17"/>
      <c r="B412" s="18" t="str">
        <f>"444445200"</f>
        <v>444445200</v>
      </c>
      <c r="C412" s="19" t="str">
        <f>"VHM-Metallkreissägeblätter - ø 200 mm"</f>
        <v>VHM-Metallkreissägeblätter - ø 200 mm</v>
      </c>
      <c r="D412" s="20">
        <v>78.83</v>
      </c>
    </row>
    <row r="413" spans="1:4" x14ac:dyDescent="0.5">
      <c r="A413" s="12" t="s">
        <v>46</v>
      </c>
      <c r="B413" s="21" t="str">
        <f>"44444609"</f>
        <v>44444609</v>
      </c>
      <c r="C413" s="22" t="str">
        <f>"HSS-Reibahlen - ø 9 mm"</f>
        <v>HSS-Reibahlen - ø 9 mm</v>
      </c>
      <c r="D413" s="23">
        <v>3.7</v>
      </c>
    </row>
    <row r="414" spans="1:4" x14ac:dyDescent="0.5">
      <c r="B414" s="14" t="str">
        <f>"44444619"</f>
        <v>44444619</v>
      </c>
      <c r="C414" s="15" t="str">
        <f>"HSS-Reibahlen - ø 19 mm"</f>
        <v>HSS-Reibahlen - ø 19 mm</v>
      </c>
      <c r="D414" s="16">
        <v>4.6100000000000003</v>
      </c>
    </row>
    <row r="415" spans="1:4" x14ac:dyDescent="0.5">
      <c r="B415" s="14" t="str">
        <f>"44444627"</f>
        <v>44444627</v>
      </c>
      <c r="C415" s="15" t="str">
        <f>"HSS-Reibahlen - ø 27 mm"</f>
        <v>HSS-Reibahlen - ø 27 mm</v>
      </c>
      <c r="D415" s="16">
        <v>8.1999999999999993</v>
      </c>
    </row>
    <row r="416" spans="1:4" x14ac:dyDescent="0.5">
      <c r="B416" s="14" t="str">
        <f>"44444635"</f>
        <v>44444635</v>
      </c>
      <c r="C416" s="15" t="str">
        <f>"HSS-Reibahlen - ø 35 mm"</f>
        <v>HSS-Reibahlen - ø 35 mm</v>
      </c>
      <c r="D416" s="16">
        <v>10.44</v>
      </c>
    </row>
    <row r="417" spans="1:4" ht="18.899999999999999" thickBot="1" x14ac:dyDescent="0.55000000000000004">
      <c r="A417" s="17"/>
      <c r="B417" s="18" t="str">
        <f>"44444650"</f>
        <v>44444650</v>
      </c>
      <c r="C417" s="19" t="str">
        <f>"HSS-Reibahlen - ø 50 mm"</f>
        <v>HSS-Reibahlen - ø 50 mm</v>
      </c>
      <c r="D417" s="20">
        <v>12.56</v>
      </c>
    </row>
    <row r="418" spans="1:4" x14ac:dyDescent="0.5">
      <c r="A418" s="12" t="s">
        <v>50</v>
      </c>
      <c r="B418" s="21" t="str">
        <f>"44444709"</f>
        <v>44444709</v>
      </c>
      <c r="C418" s="22" t="str">
        <f>"HSS-Reibahlen - ø 9 mm"</f>
        <v>HSS-Reibahlen - ø 9 mm</v>
      </c>
      <c r="D418" s="23">
        <v>5.53</v>
      </c>
    </row>
    <row r="419" spans="1:4" x14ac:dyDescent="0.5">
      <c r="B419" s="14" t="str">
        <f>"44444719"</f>
        <v>44444719</v>
      </c>
      <c r="C419" s="15" t="str">
        <f>"HSS-Reibahlen - ø 19 mm"</f>
        <v>HSS-Reibahlen - ø 19 mm</v>
      </c>
      <c r="D419" s="16">
        <v>6.93</v>
      </c>
    </row>
    <row r="420" spans="1:4" x14ac:dyDescent="0.5">
      <c r="B420" s="14" t="str">
        <f>"44444727"</f>
        <v>44444727</v>
      </c>
      <c r="C420" s="15" t="str">
        <f>"HSS-Reibahlen - ø 27 mm"</f>
        <v>HSS-Reibahlen - ø 27 mm</v>
      </c>
      <c r="D420" s="16">
        <v>12.34</v>
      </c>
    </row>
    <row r="421" spans="1:4" x14ac:dyDescent="0.5">
      <c r="B421" s="14" t="str">
        <f>"44444735"</f>
        <v>44444735</v>
      </c>
      <c r="C421" s="15" t="str">
        <f>"HSS-Reibahlen - ø 35 mm"</f>
        <v>HSS-Reibahlen - ø 35 mm</v>
      </c>
      <c r="D421" s="16">
        <v>15.67</v>
      </c>
    </row>
    <row r="422" spans="1:4" ht="18.899999999999999" thickBot="1" x14ac:dyDescent="0.55000000000000004">
      <c r="A422" s="17"/>
      <c r="B422" s="18" t="str">
        <f>"44444750"</f>
        <v>44444750</v>
      </c>
      <c r="C422" s="19" t="str">
        <f>"HSS-Reibahlen - ø 50 mm"</f>
        <v>HSS-Reibahlen - ø 50 mm</v>
      </c>
      <c r="D422" s="20">
        <v>18.829999999999998</v>
      </c>
    </row>
    <row r="423" spans="1:4" x14ac:dyDescent="0.5">
      <c r="A423" s="12" t="s">
        <v>51</v>
      </c>
      <c r="B423" s="21" t="str">
        <f>"44444809"</f>
        <v>44444809</v>
      </c>
      <c r="C423" s="22" t="str">
        <f>"VHM-Reibahlen - ø 9 mm"</f>
        <v>VHM-Reibahlen - ø 9 mm</v>
      </c>
      <c r="D423" s="23">
        <v>5.53</v>
      </c>
    </row>
    <row r="424" spans="1:4" x14ac:dyDescent="0.5">
      <c r="B424" s="14" t="str">
        <f>"44444819"</f>
        <v>44444819</v>
      </c>
      <c r="C424" s="15" t="str">
        <f>"VHM-Reibahlen - ø 19 mm"</f>
        <v>VHM-Reibahlen - ø 19 mm</v>
      </c>
      <c r="D424" s="16">
        <v>6.93</v>
      </c>
    </row>
    <row r="425" spans="1:4" x14ac:dyDescent="0.5">
      <c r="B425" s="14" t="str">
        <f>"44444827"</f>
        <v>44444827</v>
      </c>
      <c r="C425" s="15" t="str">
        <f>"VHM-Reibahlen - ø 27 mm"</f>
        <v>VHM-Reibahlen - ø 27 mm</v>
      </c>
      <c r="D425" s="16">
        <v>12.34</v>
      </c>
    </row>
    <row r="426" spans="1:4" x14ac:dyDescent="0.5">
      <c r="B426" s="14" t="str">
        <f>"44444835"</f>
        <v>44444835</v>
      </c>
      <c r="C426" s="15" t="str">
        <f>"VHM-Reibahlen - ø 35 mm"</f>
        <v>VHM-Reibahlen - ø 35 mm</v>
      </c>
      <c r="D426" s="16">
        <v>15.67</v>
      </c>
    </row>
    <row r="427" spans="1:4" ht="18.899999999999999" thickBot="1" x14ac:dyDescent="0.55000000000000004">
      <c r="A427" s="17"/>
      <c r="B427" s="18" t="str">
        <f>"44444850"</f>
        <v>44444850</v>
      </c>
      <c r="C427" s="19" t="str">
        <f>"VHM-Reibahlen - ø 50 mm"</f>
        <v>VHM-Reibahlen - ø 50 mm</v>
      </c>
      <c r="D427" s="20">
        <v>18.829999999999998</v>
      </c>
    </row>
    <row r="428" spans="1:4" x14ac:dyDescent="0.5">
      <c r="A428" s="12" t="s">
        <v>52</v>
      </c>
      <c r="B428" s="21" t="str">
        <f>"44444909"</f>
        <v>44444909</v>
      </c>
      <c r="C428" s="22" t="str">
        <f>"VHM-Reibahlen - ø 9 mm"</f>
        <v>VHM-Reibahlen - ø 9 mm</v>
      </c>
      <c r="D428" s="23">
        <v>6.93</v>
      </c>
    </row>
    <row r="429" spans="1:4" x14ac:dyDescent="0.5">
      <c r="B429" s="14" t="str">
        <f>"44444919"</f>
        <v>44444919</v>
      </c>
      <c r="C429" s="15" t="str">
        <f>"VHM-Reibahlen - ø 19 mm"</f>
        <v>VHM-Reibahlen - ø 19 mm</v>
      </c>
      <c r="D429" s="16">
        <v>10.39</v>
      </c>
    </row>
    <row r="430" spans="1:4" x14ac:dyDescent="0.5">
      <c r="B430" s="14" t="str">
        <f>"44444927"</f>
        <v>44444927</v>
      </c>
      <c r="C430" s="15" t="str">
        <f>"VHM-Reibahlen - ø 27 mm"</f>
        <v>VHM-Reibahlen - ø 27 mm</v>
      </c>
      <c r="D430" s="16">
        <v>18.46</v>
      </c>
    </row>
    <row r="431" spans="1:4" x14ac:dyDescent="0.5">
      <c r="B431" s="14" t="str">
        <f>"44444935"</f>
        <v>44444935</v>
      </c>
      <c r="C431" s="15" t="str">
        <f>"VHM-Reibahlen - ø 35 mm"</f>
        <v>VHM-Reibahlen - ø 35 mm</v>
      </c>
      <c r="D431" s="16">
        <v>23.5</v>
      </c>
    </row>
    <row r="432" spans="1:4" ht="18.899999999999999" thickBot="1" x14ac:dyDescent="0.55000000000000004">
      <c r="A432" s="17"/>
      <c r="B432" s="18" t="str">
        <f>"44444950"</f>
        <v>44444950</v>
      </c>
      <c r="C432" s="19" t="str">
        <f>"VHM-Reibahlen - ø 50 mm"</f>
        <v>VHM-Reibahlen - ø 50 mm</v>
      </c>
      <c r="D432" s="20">
        <v>28.23</v>
      </c>
    </row>
    <row r="433" spans="1:4" x14ac:dyDescent="0.5">
      <c r="A433" s="12" t="s">
        <v>53</v>
      </c>
      <c r="B433" s="21" t="str">
        <f>"44445010"</f>
        <v>44445010</v>
      </c>
      <c r="C433" s="22" t="str">
        <f>"HSS-Kegelsenker - ø 10 mm"</f>
        <v>HSS-Kegelsenker - ø 10 mm</v>
      </c>
      <c r="D433" s="23">
        <v>5.59</v>
      </c>
    </row>
    <row r="434" spans="1:4" x14ac:dyDescent="0.5">
      <c r="B434" s="14" t="str">
        <f>"44445019"</f>
        <v>44445019</v>
      </c>
      <c r="C434" s="15" t="str">
        <f>"HSS-Kegelsenker - ø 19 mm"</f>
        <v>HSS-Kegelsenker - ø 19 mm</v>
      </c>
      <c r="D434" s="16">
        <v>5.59</v>
      </c>
    </row>
    <row r="435" spans="1:4" x14ac:dyDescent="0.5">
      <c r="B435" s="14" t="str">
        <f>"44445029"</f>
        <v>44445029</v>
      </c>
      <c r="C435" s="15" t="str">
        <f>"HSS-Kegelsenker - ø 29 mm"</f>
        <v>HSS-Kegelsenker - ø 29 mm</v>
      </c>
      <c r="D435" s="16">
        <v>8.6300000000000008</v>
      </c>
    </row>
    <row r="436" spans="1:4" x14ac:dyDescent="0.5">
      <c r="B436" s="14" t="str">
        <f>"44445039"</f>
        <v>44445039</v>
      </c>
      <c r="C436" s="15" t="str">
        <f>"HSS-Kegelsenker - ø 39 mm"</f>
        <v>HSS-Kegelsenker - ø 39 mm</v>
      </c>
      <c r="D436" s="16">
        <v>14.88</v>
      </c>
    </row>
    <row r="437" spans="1:4" x14ac:dyDescent="0.5">
      <c r="B437" s="14" t="str">
        <f>"44445049"</f>
        <v>44445049</v>
      </c>
      <c r="C437" s="15" t="str">
        <f>"HSS-Kegelsenker - ø 49 mm"</f>
        <v>HSS-Kegelsenker - ø 49 mm</v>
      </c>
      <c r="D437" s="16">
        <v>17.91</v>
      </c>
    </row>
    <row r="438" spans="1:4" x14ac:dyDescent="0.5">
      <c r="B438" s="14" t="str">
        <f>"44445059"</f>
        <v>44445059</v>
      </c>
      <c r="C438" s="15" t="str">
        <f>"HSS-Kegelsenker - ø 59 mm"</f>
        <v>HSS-Kegelsenker - ø 59 mm</v>
      </c>
      <c r="D438" s="16">
        <v>20.28</v>
      </c>
    </row>
    <row r="439" spans="1:4" ht="18.899999999999999" thickBot="1" x14ac:dyDescent="0.55000000000000004">
      <c r="A439" s="17"/>
      <c r="B439" s="18" t="str">
        <f>"44445069"</f>
        <v>44445069</v>
      </c>
      <c r="C439" s="19" t="str">
        <f>"HSS-Kegelsenker - ø 69 mm"</f>
        <v>HSS-Kegelsenker - ø 69 mm</v>
      </c>
      <c r="D439" s="20">
        <v>28.11</v>
      </c>
    </row>
    <row r="440" spans="1:4" x14ac:dyDescent="0.5">
      <c r="A440" s="12" t="s">
        <v>54</v>
      </c>
      <c r="B440" s="21" t="str">
        <f>"44445110"</f>
        <v>44445110</v>
      </c>
      <c r="C440" s="22" t="str">
        <f>"VHM-Kegelsenker - ø 10 mm"</f>
        <v>VHM-Kegelsenker - ø 10 mm</v>
      </c>
      <c r="D440" s="23">
        <v>8.3800000000000008</v>
      </c>
    </row>
    <row r="441" spans="1:4" x14ac:dyDescent="0.5">
      <c r="B441" s="14" t="str">
        <f>"44445119"</f>
        <v>44445119</v>
      </c>
      <c r="C441" s="15" t="str">
        <f>"VHM-Kegelsenker - ø 19 mm"</f>
        <v>VHM-Kegelsenker - ø 19 mm</v>
      </c>
      <c r="D441" s="16">
        <v>8.3800000000000008</v>
      </c>
    </row>
    <row r="442" spans="1:4" x14ac:dyDescent="0.5">
      <c r="B442" s="14" t="str">
        <f>"44445129"</f>
        <v>44445129</v>
      </c>
      <c r="C442" s="15" t="str">
        <f>"VHM-Kegelsenker - ø 29 mm"</f>
        <v>VHM-Kegelsenker - ø 29 mm</v>
      </c>
      <c r="D442" s="16">
        <v>12.87</v>
      </c>
    </row>
    <row r="443" spans="1:4" x14ac:dyDescent="0.5">
      <c r="B443" s="14" t="str">
        <f>"44445139"</f>
        <v>44445139</v>
      </c>
      <c r="C443" s="15" t="str">
        <f>"VHM-Kegelsenker - ø 39 mm"</f>
        <v>VHM-Kegelsenker - ø 39 mm</v>
      </c>
      <c r="D443" s="16">
        <v>22.29</v>
      </c>
    </row>
    <row r="444" spans="1:4" x14ac:dyDescent="0.5">
      <c r="B444" s="14" t="str">
        <f>"44445149"</f>
        <v>44445149</v>
      </c>
      <c r="C444" s="15" t="str">
        <f>"VHM-Kegelsenker - ø 49 mm"</f>
        <v>VHM-Kegelsenker - ø 49 mm</v>
      </c>
      <c r="D444" s="16">
        <v>26.83</v>
      </c>
    </row>
    <row r="445" spans="1:4" x14ac:dyDescent="0.5">
      <c r="B445" s="14" t="str">
        <f>"44445159"</f>
        <v>44445159</v>
      </c>
      <c r="C445" s="15" t="str">
        <f>"VHM-Kegelsenker - ø 59 mm"</f>
        <v>VHM-Kegelsenker - ø 59 mm</v>
      </c>
      <c r="D445" s="16">
        <v>30.41</v>
      </c>
    </row>
    <row r="446" spans="1:4" ht="18.899999999999999" thickBot="1" x14ac:dyDescent="0.55000000000000004">
      <c r="A446" s="17"/>
      <c r="B446" s="18" t="str">
        <f>"44445169"</f>
        <v>44445169</v>
      </c>
      <c r="C446" s="19" t="str">
        <f>"VHM-Kegelsenker - ø 69 mm"</f>
        <v>VHM-Kegelsenker - ø 69 mm</v>
      </c>
      <c r="D446" s="20">
        <v>42.14</v>
      </c>
    </row>
    <row r="447" spans="1:4" x14ac:dyDescent="0.5">
      <c r="A447" s="12" t="s">
        <v>55</v>
      </c>
      <c r="B447" s="21" t="str">
        <f>"44445209"</f>
        <v>44445209</v>
      </c>
      <c r="C447" s="22" t="str">
        <f>"HSS-Zapfensenker - ø 9 mm"</f>
        <v>HSS-Zapfensenker - ø 9 mm</v>
      </c>
      <c r="D447" s="23">
        <v>3.94</v>
      </c>
    </row>
    <row r="448" spans="1:4" x14ac:dyDescent="0.5">
      <c r="B448" s="14" t="str">
        <f>"44445219"</f>
        <v>44445219</v>
      </c>
      <c r="C448" s="15" t="str">
        <f>"HSS-Zapfensenker - ø 19 mm"</f>
        <v>HSS-Zapfensenker - ø 19 mm</v>
      </c>
      <c r="D448" s="16">
        <v>6.07</v>
      </c>
    </row>
    <row r="449" spans="1:4" x14ac:dyDescent="0.5">
      <c r="B449" s="14" t="str">
        <f>"44445227"</f>
        <v>44445227</v>
      </c>
      <c r="C449" s="15" t="str">
        <f>"HSS-Zapfensenker - ø 27 mm"</f>
        <v>HSS-Zapfensenker - ø 27 mm</v>
      </c>
      <c r="D449" s="16">
        <v>9.7799999999999994</v>
      </c>
    </row>
    <row r="450" spans="1:4" x14ac:dyDescent="0.5">
      <c r="B450" s="14" t="str">
        <f>"44445235"</f>
        <v>44445235</v>
      </c>
      <c r="C450" s="15" t="str">
        <f>"HSS-Zapfensenker - ø 35 mm"</f>
        <v>HSS-Zapfensenker - ø 35 mm</v>
      </c>
      <c r="D450" s="16">
        <v>12.81</v>
      </c>
    </row>
    <row r="451" spans="1:4" ht="18.899999999999999" thickBot="1" x14ac:dyDescent="0.55000000000000004">
      <c r="A451" s="17"/>
      <c r="B451" s="18" t="str">
        <f>"44445250"</f>
        <v>44445250</v>
      </c>
      <c r="C451" s="19" t="str">
        <f>"HSS-Zapfensenker - ø 50 mm"</f>
        <v>HSS-Zapfensenker - ø 50 mm</v>
      </c>
      <c r="D451" s="20">
        <v>17.97</v>
      </c>
    </row>
    <row r="452" spans="1:4" x14ac:dyDescent="0.5">
      <c r="A452" s="12" t="s">
        <v>56</v>
      </c>
      <c r="B452" s="21" t="str">
        <f>"44445309"</f>
        <v>44445309</v>
      </c>
      <c r="C452" s="22" t="str">
        <f>"HSS-Bilzsenker - ø 9 mm"</f>
        <v>HSS-Bilzsenker - ø 9 mm</v>
      </c>
      <c r="D452" s="23">
        <v>5.89</v>
      </c>
    </row>
    <row r="453" spans="1:4" x14ac:dyDescent="0.5">
      <c r="B453" s="14" t="str">
        <f>"44445319"</f>
        <v>44445319</v>
      </c>
      <c r="C453" s="15" t="str">
        <f>"HSS-Bilzsenker - ø 19 mm"</f>
        <v>HSS-Bilzsenker - ø 19 mm</v>
      </c>
      <c r="D453" s="16">
        <v>9.0399999999999991</v>
      </c>
    </row>
    <row r="454" spans="1:4" x14ac:dyDescent="0.5">
      <c r="B454" s="14" t="str">
        <f>"44445327"</f>
        <v>44445327</v>
      </c>
      <c r="C454" s="15" t="str">
        <f>"HSS-Bilzsenker - ø 27 mm"</f>
        <v>HSS-Bilzsenker - ø 27 mm</v>
      </c>
      <c r="D454" s="16">
        <v>14.63</v>
      </c>
    </row>
    <row r="455" spans="1:4" x14ac:dyDescent="0.5">
      <c r="B455" s="14" t="str">
        <f>"44445335"</f>
        <v>44445335</v>
      </c>
      <c r="C455" s="15" t="str">
        <f>"HSS-Bilzsenker - ø 35 mm"</f>
        <v>HSS-Bilzsenker - ø 35 mm</v>
      </c>
      <c r="D455" s="16">
        <v>19.190000000000001</v>
      </c>
    </row>
    <row r="456" spans="1:4" ht="18.899999999999999" thickBot="1" x14ac:dyDescent="0.55000000000000004">
      <c r="A456" s="17"/>
      <c r="B456" s="18" t="str">
        <f>"44445350"</f>
        <v>44445350</v>
      </c>
      <c r="C456" s="19" t="str">
        <f>"HSS-Bilzsenker - ø 50 mm"</f>
        <v>HSS-Bilzsenker - ø 50 mm</v>
      </c>
      <c r="D456" s="20">
        <v>26.23</v>
      </c>
    </row>
    <row r="457" spans="1:4" x14ac:dyDescent="0.5">
      <c r="A457" s="12" t="s">
        <v>57</v>
      </c>
      <c r="B457" s="21" t="str">
        <f>"44445409"</f>
        <v>44445409</v>
      </c>
      <c r="C457" s="22" t="str">
        <f>"VHM-Bilzsenker - ø 9 mm"</f>
        <v>VHM-Bilzsenker - ø 9 mm</v>
      </c>
      <c r="D457" s="23">
        <v>8.86</v>
      </c>
    </row>
    <row r="458" spans="1:4" x14ac:dyDescent="0.5">
      <c r="B458" s="14" t="str">
        <f>"44445419"</f>
        <v>44445419</v>
      </c>
      <c r="C458" s="15" t="str">
        <f>"VHM-Bilzsenker - ø 19 mm"</f>
        <v>VHM-Bilzsenker - ø 19 mm</v>
      </c>
      <c r="D458" s="16">
        <v>13.6</v>
      </c>
    </row>
    <row r="459" spans="1:4" x14ac:dyDescent="0.5">
      <c r="B459" s="14" t="str">
        <f>"44445427"</f>
        <v>44445427</v>
      </c>
      <c r="C459" s="15" t="str">
        <f>"VHM-Bilzsenker - ø 27 mm"</f>
        <v>VHM-Bilzsenker - ø 27 mm</v>
      </c>
      <c r="D459" s="16">
        <v>21.86</v>
      </c>
    </row>
    <row r="460" spans="1:4" x14ac:dyDescent="0.5">
      <c r="B460" s="14" t="str">
        <f>"44445435"</f>
        <v>44445435</v>
      </c>
      <c r="C460" s="15" t="str">
        <f>"VHM-Bilzsenker - ø 35 mm"</f>
        <v>VHM-Bilzsenker - ø 35 mm</v>
      </c>
      <c r="D460" s="16">
        <v>28.79</v>
      </c>
    </row>
    <row r="461" spans="1:4" ht="18.899999999999999" thickBot="1" x14ac:dyDescent="0.55000000000000004">
      <c r="A461" s="17"/>
      <c r="B461" s="18" t="str">
        <f>"44445450"</f>
        <v>44445450</v>
      </c>
      <c r="C461" s="19" t="str">
        <f>"VHM-Bilzsenker - ø 50 mm"</f>
        <v>VHM-Bilzsenker - ø 50 mm</v>
      </c>
      <c r="D461" s="20">
        <v>39.340000000000003</v>
      </c>
    </row>
    <row r="462" spans="1:4" x14ac:dyDescent="0.5">
      <c r="A462" s="12" t="s">
        <v>58</v>
      </c>
      <c r="B462" s="21" t="str">
        <f>"44445510"</f>
        <v>44445510</v>
      </c>
      <c r="C462" s="22" t="str">
        <f>"HSS-Kegelsenker m. ungl. Teilung - ø10"</f>
        <v>HSS-Kegelsenker m. ungl. Teilung - ø10</v>
      </c>
      <c r="D462" s="23">
        <v>8.3800000000000008</v>
      </c>
    </row>
    <row r="463" spans="1:4" x14ac:dyDescent="0.5">
      <c r="B463" s="14" t="str">
        <f>"44445519"</f>
        <v>44445519</v>
      </c>
      <c r="C463" s="15" t="str">
        <f>"HSS-Kegelsenker m. ungl. Teilung - ø19"</f>
        <v>HSS-Kegelsenker m. ungl. Teilung - ø19</v>
      </c>
      <c r="D463" s="16">
        <v>8.3800000000000008</v>
      </c>
    </row>
    <row r="464" spans="1:4" x14ac:dyDescent="0.5">
      <c r="B464" s="14" t="str">
        <f>"44445529"</f>
        <v>44445529</v>
      </c>
      <c r="C464" s="15" t="str">
        <f>"HSS-Kegelsenker m. ungl. Teilung - ø29"</f>
        <v>HSS-Kegelsenker m. ungl. Teilung - ø29</v>
      </c>
      <c r="D464" s="16">
        <v>12.96</v>
      </c>
    </row>
    <row r="465" spans="1:4" x14ac:dyDescent="0.5">
      <c r="B465" s="14" t="str">
        <f>"44445539"</f>
        <v>44445539</v>
      </c>
      <c r="C465" s="15" t="str">
        <f>"HSS-Kegelsenker m. ungl. Teilung - ø39"</f>
        <v>HSS-Kegelsenker m. ungl. Teilung - ø39</v>
      </c>
      <c r="D465" s="16">
        <v>22.31</v>
      </c>
    </row>
    <row r="466" spans="1:4" x14ac:dyDescent="0.5">
      <c r="B466" s="14" t="str">
        <f>"44445549"</f>
        <v>44445549</v>
      </c>
      <c r="C466" s="15" t="str">
        <f>"HSS-Kegelsenker m. ungl. Teilung - ø49"</f>
        <v>HSS-Kegelsenker m. ungl. Teilung - ø49</v>
      </c>
      <c r="D466" s="16">
        <v>26.87</v>
      </c>
    </row>
    <row r="467" spans="1:4" x14ac:dyDescent="0.5">
      <c r="B467" s="14" t="str">
        <f>"44445559"</f>
        <v>44445559</v>
      </c>
      <c r="C467" s="15" t="str">
        <f>"HSS-Kegelsenker m. ungl. Teilung - ø59"</f>
        <v>HSS-Kegelsenker m. ungl. Teilung - ø59</v>
      </c>
      <c r="D467" s="16">
        <v>30.42</v>
      </c>
    </row>
    <row r="468" spans="1:4" ht="18.899999999999999" thickBot="1" x14ac:dyDescent="0.55000000000000004">
      <c r="A468" s="17"/>
      <c r="B468" s="18" t="str">
        <f>"44445569"</f>
        <v>44445569</v>
      </c>
      <c r="C468" s="19" t="str">
        <f>"HSS-Kegelsenker m. ungl. Teilung - ø69"</f>
        <v>HSS-Kegelsenker m. ungl. Teilung - ø69</v>
      </c>
      <c r="D468" s="20">
        <v>42.18</v>
      </c>
    </row>
    <row r="469" spans="1:4" x14ac:dyDescent="0.5">
      <c r="A469" s="12" t="s">
        <v>59</v>
      </c>
      <c r="B469" s="21" t="str">
        <f>"44445610"</f>
        <v>44445610</v>
      </c>
      <c r="C469" s="22" t="str">
        <f>"VHM-Kegelsenker m. ungl. Teilung - ø10"</f>
        <v>VHM-Kegelsenker m. ungl. Teilung - ø10</v>
      </c>
      <c r="D469" s="23">
        <v>12.58</v>
      </c>
    </row>
    <row r="470" spans="1:4" x14ac:dyDescent="0.5">
      <c r="B470" s="14" t="str">
        <f>"44445619"</f>
        <v>44445619</v>
      </c>
      <c r="C470" s="15" t="str">
        <f>"VHM-Kegelsenker m. ungl. Teilung - ø19"</f>
        <v>VHM-Kegelsenker m. ungl. Teilung - ø19</v>
      </c>
      <c r="D470" s="16">
        <v>12.58</v>
      </c>
    </row>
    <row r="471" spans="1:4" x14ac:dyDescent="0.5">
      <c r="B471" s="14" t="str">
        <f>"44445629"</f>
        <v>44445629</v>
      </c>
      <c r="C471" s="15" t="str">
        <f>"VHM-Kegelsenker m. ungl. Teilung - ø29"</f>
        <v>VHM-Kegelsenker m. ungl. Teilung - ø29</v>
      </c>
      <c r="D471" s="16">
        <v>19.32</v>
      </c>
    </row>
    <row r="472" spans="1:4" x14ac:dyDescent="0.5">
      <c r="B472" s="14" t="str">
        <f>"44445639"</f>
        <v>44445639</v>
      </c>
      <c r="C472" s="15" t="str">
        <f>"VHM-Kegelsenker m. ungl. Teilung - ø39"</f>
        <v>VHM-Kegelsenker m. ungl. Teilung - ø39</v>
      </c>
      <c r="D472" s="16">
        <v>33.43</v>
      </c>
    </row>
    <row r="473" spans="1:4" x14ac:dyDescent="0.5">
      <c r="B473" s="14" t="str">
        <f>"44445649"</f>
        <v>44445649</v>
      </c>
      <c r="C473" s="15" t="str">
        <f>"VHM-Kegelsenker m. ungl. Teilung - ø49"</f>
        <v>VHM-Kegelsenker m. ungl. Teilung - ø49</v>
      </c>
      <c r="D473" s="16">
        <v>40.270000000000003</v>
      </c>
    </row>
    <row r="474" spans="1:4" x14ac:dyDescent="0.5">
      <c r="B474" s="14" t="str">
        <f>"44445659"</f>
        <v>44445659</v>
      </c>
      <c r="C474" s="15" t="str">
        <f>"VHM-Kegelsenker m. ungl. Teilung - ø59"</f>
        <v>VHM-Kegelsenker m. ungl. Teilung - ø59</v>
      </c>
      <c r="D474" s="16">
        <v>45.64</v>
      </c>
    </row>
    <row r="475" spans="1:4" ht="18.899999999999999" thickBot="1" x14ac:dyDescent="0.55000000000000004">
      <c r="A475" s="17"/>
      <c r="B475" s="18" t="str">
        <f>"44445669"</f>
        <v>44445669</v>
      </c>
      <c r="C475" s="19" t="str">
        <f>"VHM-Kegelsenker m. ungl. Teilung - ø69"</f>
        <v>VHM-Kegelsenker m. ungl. Teilung - ø69</v>
      </c>
      <c r="D475" s="20">
        <v>63.22</v>
      </c>
    </row>
    <row r="476" spans="1:4" x14ac:dyDescent="0.5">
      <c r="A476" s="12" t="s">
        <v>60</v>
      </c>
      <c r="B476" s="21" t="str">
        <f>"44445710"</f>
        <v>44445710</v>
      </c>
      <c r="C476" s="22" t="str">
        <f>"VHM-Gewindefräser - ø 10 mm"</f>
        <v>VHM-Gewindefräser - ø 10 mm</v>
      </c>
      <c r="D476" s="23">
        <v>12.13</v>
      </c>
    </row>
    <row r="477" spans="1:4" x14ac:dyDescent="0.5">
      <c r="B477" s="14" t="str">
        <f>"44445714"</f>
        <v>44445714</v>
      </c>
      <c r="C477" s="15" t="str">
        <f>"VHM-Gewindefräser - ø 14 mm"</f>
        <v>VHM-Gewindefräser - ø 14 mm</v>
      </c>
      <c r="D477" s="16">
        <v>17.11</v>
      </c>
    </row>
    <row r="478" spans="1:4" x14ac:dyDescent="0.5">
      <c r="B478" s="14" t="str">
        <f>"44445720"</f>
        <v>44445720</v>
      </c>
      <c r="C478" s="15" t="str">
        <f>"VHM-Gewindefräser - ø 20 mm"</f>
        <v>VHM-Gewindefräser - ø 20 mm</v>
      </c>
      <c r="D478" s="16">
        <v>20.239999999999998</v>
      </c>
    </row>
    <row r="479" spans="1:4" ht="18.899999999999999" thickBot="1" x14ac:dyDescent="0.55000000000000004">
      <c r="A479" s="17"/>
      <c r="B479" s="18" t="str">
        <f>"44445725"</f>
        <v>44445725</v>
      </c>
      <c r="C479" s="19" t="str">
        <f>"VHM-Gewindefräser - ø 25 mm"</f>
        <v>VHM-Gewindefräser - ø 25 mm</v>
      </c>
      <c r="D479" s="20">
        <v>25.68</v>
      </c>
    </row>
    <row r="480" spans="1:4" x14ac:dyDescent="0.5">
      <c r="A480" s="12" t="s">
        <v>61</v>
      </c>
      <c r="B480" s="21" t="str">
        <f>"44445806"</f>
        <v>44445806</v>
      </c>
      <c r="C480" s="22" t="str">
        <f>"VHM-Fräser HPC inkl.Hardmax -ø6,0mm"</f>
        <v>VHM-Fräser HPC inkl.Hardmax -ø6,0mm</v>
      </c>
      <c r="D480" s="23">
        <v>16.760000000000002</v>
      </c>
    </row>
    <row r="481" spans="1:4" x14ac:dyDescent="0.5">
      <c r="B481" s="14" t="str">
        <f>"44445808"</f>
        <v>44445808</v>
      </c>
      <c r="C481" s="15" t="str">
        <f>"VHM-Fräser HPC inkl.Hardmax -ø8,0mm"</f>
        <v>VHM-Fräser HPC inkl.Hardmax -ø8,0mm</v>
      </c>
      <c r="D481" s="16">
        <v>21.32</v>
      </c>
    </row>
    <row r="482" spans="1:4" x14ac:dyDescent="0.5">
      <c r="B482" s="14" t="str">
        <f>"44445810"</f>
        <v>44445810</v>
      </c>
      <c r="C482" s="15" t="str">
        <f>"VHM-FräserHPC inkl.Hardmax -ø10,0mm"</f>
        <v>VHM-FräserHPC inkl.Hardmax -ø10,0mm</v>
      </c>
      <c r="D482" s="16">
        <v>23.07</v>
      </c>
    </row>
    <row r="483" spans="1:4" x14ac:dyDescent="0.5">
      <c r="B483" s="14" t="str">
        <f>"44445812"</f>
        <v>44445812</v>
      </c>
      <c r="C483" s="15" t="str">
        <f>"VHM-FräserHPC inkl.Hardmax -ø12,0mm"</f>
        <v>VHM-FräserHPC inkl.Hardmax -ø12,0mm</v>
      </c>
      <c r="D483" s="16">
        <v>26.66</v>
      </c>
    </row>
    <row r="484" spans="1:4" x14ac:dyDescent="0.5">
      <c r="B484" s="14" t="str">
        <f>"44445814"</f>
        <v>44445814</v>
      </c>
      <c r="C484" s="15" t="str">
        <f>"VHM-FräserHPC inkl.Hardmax -ø14,0mm"</f>
        <v>VHM-FräserHPC inkl.Hardmax -ø14,0mm</v>
      </c>
      <c r="D484" s="16">
        <v>27.39</v>
      </c>
    </row>
    <row r="485" spans="1:4" x14ac:dyDescent="0.5">
      <c r="B485" s="14" t="str">
        <f>"44445816"</f>
        <v>44445816</v>
      </c>
      <c r="C485" s="15" t="str">
        <f>"VHM-FräserHPC inkl.Hardmax -ø16,0mm"</f>
        <v>VHM-FräserHPC inkl.Hardmax -ø16,0mm</v>
      </c>
      <c r="D485" s="16">
        <v>29.22</v>
      </c>
    </row>
    <row r="486" spans="1:4" x14ac:dyDescent="0.5">
      <c r="B486" s="14" t="str">
        <f>"44445818"</f>
        <v>44445818</v>
      </c>
      <c r="C486" s="15" t="str">
        <f>"VHM-FräserHPC inkl.Hardmax -ø18,0mm"</f>
        <v>VHM-FräserHPC inkl.Hardmax -ø18,0mm</v>
      </c>
      <c r="D486" s="16">
        <v>32.200000000000003</v>
      </c>
    </row>
    <row r="487" spans="1:4" x14ac:dyDescent="0.5">
      <c r="B487" s="14" t="str">
        <f>"44445820"</f>
        <v>44445820</v>
      </c>
      <c r="C487" s="15" t="str">
        <f>"VHM-FräserHPC inkl.Hardmax -ø20,0mm"</f>
        <v>VHM-FräserHPC inkl.Hardmax -ø20,0mm</v>
      </c>
      <c r="D487" s="16">
        <v>36.31</v>
      </c>
    </row>
    <row r="488" spans="1:4" ht="18.899999999999999" thickBot="1" x14ac:dyDescent="0.55000000000000004">
      <c r="A488" s="17"/>
      <c r="B488" s="18" t="str">
        <f>"44445825"</f>
        <v>44445825</v>
      </c>
      <c r="C488" s="19" t="str">
        <f>"VHM-FräserHPC inkl.Hardmax -ø25,0mm"</f>
        <v>VHM-FräserHPC inkl.Hardmax -ø25,0mm</v>
      </c>
      <c r="D488" s="20">
        <v>48.47</v>
      </c>
    </row>
    <row r="489" spans="1:4" x14ac:dyDescent="0.5">
      <c r="A489" s="12" t="s">
        <v>62</v>
      </c>
      <c r="B489" s="21" t="str">
        <f>"44445906"</f>
        <v>44445906</v>
      </c>
      <c r="C489" s="22" t="str">
        <f>"VHM-FräserHPC m. ER Hardmax -ø6,0mm"</f>
        <v>VHM-FräserHPC m. ER Hardmax -ø6,0mm</v>
      </c>
      <c r="D489" s="23">
        <v>17.920000000000002</v>
      </c>
    </row>
    <row r="490" spans="1:4" x14ac:dyDescent="0.5">
      <c r="B490" s="14" t="str">
        <f>"44445908"</f>
        <v>44445908</v>
      </c>
      <c r="C490" s="15" t="str">
        <f>"VHM-FräserHPC m. ER Hardmax -ø8,0mm"</f>
        <v>VHM-FräserHPC m. ER Hardmax -ø8,0mm</v>
      </c>
      <c r="D490" s="16">
        <v>22.55</v>
      </c>
    </row>
    <row r="491" spans="1:4" x14ac:dyDescent="0.5">
      <c r="B491" s="14" t="str">
        <f>"44445910"</f>
        <v>44445910</v>
      </c>
      <c r="C491" s="15" t="str">
        <f>"VHM-FräserHPC m. ER Hardmax -ø10,0"</f>
        <v>VHM-FräserHPC m. ER Hardmax -ø10,0</v>
      </c>
      <c r="D491" s="16">
        <v>24.23</v>
      </c>
    </row>
    <row r="492" spans="1:4" x14ac:dyDescent="0.5">
      <c r="B492" s="14" t="str">
        <f>"44445912"</f>
        <v>44445912</v>
      </c>
      <c r="C492" s="15" t="str">
        <f>"VHM-FräserHPC m. ER Hardmax -ø12,0"</f>
        <v>VHM-FräserHPC m. ER Hardmax -ø12,0</v>
      </c>
      <c r="D492" s="16">
        <v>28.33</v>
      </c>
    </row>
    <row r="493" spans="1:4" x14ac:dyDescent="0.5">
      <c r="B493" s="14" t="str">
        <f>"44445914"</f>
        <v>44445914</v>
      </c>
      <c r="C493" s="15" t="str">
        <f>"VHM-FräserHPC m. ER Hardmax -ø14,0"</f>
        <v>VHM-FräserHPC m. ER Hardmax -ø14,0</v>
      </c>
      <c r="D493" s="16">
        <v>29.12</v>
      </c>
    </row>
    <row r="494" spans="1:4" x14ac:dyDescent="0.5">
      <c r="B494" s="14" t="str">
        <f>"44445916"</f>
        <v>44445916</v>
      </c>
      <c r="C494" s="15" t="str">
        <f>"VHM-FräserHPC m. ER Hardmax -ø16,0"</f>
        <v>VHM-FräserHPC m. ER Hardmax -ø16,0</v>
      </c>
      <c r="D494" s="16">
        <v>31.51</v>
      </c>
    </row>
    <row r="495" spans="1:4" x14ac:dyDescent="0.5">
      <c r="B495" s="14" t="str">
        <f>"44445918"</f>
        <v>44445918</v>
      </c>
      <c r="C495" s="15" t="str">
        <f>"VHM-FräserHPC m. ER Hardmax -ø18,0"</f>
        <v>VHM-FräserHPC m. ER Hardmax -ø18,0</v>
      </c>
      <c r="D495" s="16">
        <v>35.07</v>
      </c>
    </row>
    <row r="496" spans="1:4" x14ac:dyDescent="0.5">
      <c r="B496" s="14" t="str">
        <f>"44445920"</f>
        <v>44445920</v>
      </c>
      <c r="C496" s="15" t="str">
        <f>"VHM-FräserHPC m. ER Hardmax -ø20,0"</f>
        <v>VHM-FräserHPC m. ER Hardmax -ø20,0</v>
      </c>
      <c r="D496" s="16">
        <v>39.79</v>
      </c>
    </row>
    <row r="497" spans="1:4" ht="18.899999999999999" thickBot="1" x14ac:dyDescent="0.55000000000000004">
      <c r="A497" s="17"/>
      <c r="B497" s="18" t="str">
        <f>"44445925"</f>
        <v>44445925</v>
      </c>
      <c r="C497" s="19" t="str">
        <f>"VHM-FräserHPC m. ER Hardmax -ø25,0"</f>
        <v>VHM-FräserHPC m. ER Hardmax -ø25,0</v>
      </c>
      <c r="D497" s="20">
        <v>51.93</v>
      </c>
    </row>
    <row r="498" spans="1:4" x14ac:dyDescent="0.5">
      <c r="A498" s="12" t="s">
        <v>63</v>
      </c>
      <c r="B498" s="21" t="str">
        <f>"44446016"</f>
        <v>44446016</v>
      </c>
      <c r="C498" s="22" t="str">
        <f>"HSS-Winkelfräser ø 16 mm"</f>
        <v>HSS-Winkelfräser ø 16 mm</v>
      </c>
      <c r="D498" s="23">
        <v>9.0399999999999991</v>
      </c>
    </row>
    <row r="499" spans="1:4" x14ac:dyDescent="0.5">
      <c r="B499" s="14" t="str">
        <f>"44446025"</f>
        <v>44446025</v>
      </c>
      <c r="C499" s="15" t="str">
        <f>"HSS-Winkelfräser ø 25 mm"</f>
        <v>HSS-Winkelfräser ø 25 mm</v>
      </c>
      <c r="D499" s="16">
        <v>15.24</v>
      </c>
    </row>
    <row r="500" spans="1:4" x14ac:dyDescent="0.5">
      <c r="B500" s="14" t="str">
        <f>"44446032"</f>
        <v>44446032</v>
      </c>
      <c r="C500" s="15" t="str">
        <f>"HSS-Winkelfräser ø 32 mm"</f>
        <v>HSS-Winkelfräser ø 32 mm</v>
      </c>
      <c r="D500" s="16">
        <v>19.920000000000002</v>
      </c>
    </row>
    <row r="501" spans="1:4" x14ac:dyDescent="0.5">
      <c r="B501" s="14" t="str">
        <f>"44446040"</f>
        <v>44446040</v>
      </c>
      <c r="C501" s="15" t="str">
        <f>"HSS-Winkelfräser ø 40 mm"</f>
        <v>HSS-Winkelfräser ø 40 mm</v>
      </c>
      <c r="D501" s="16">
        <v>27.99</v>
      </c>
    </row>
    <row r="502" spans="1:4" ht="18.899999999999999" thickBot="1" x14ac:dyDescent="0.55000000000000004">
      <c r="A502" s="17"/>
      <c r="B502" s="18" t="str">
        <f>"44446050"</f>
        <v>44446050</v>
      </c>
      <c r="C502" s="19" t="str">
        <f>"HSS-Winkelfräser ø 50 mm"</f>
        <v>HSS-Winkelfräser ø 50 mm</v>
      </c>
      <c r="D502" s="20">
        <v>37.25</v>
      </c>
    </row>
    <row r="503" spans="1:4" x14ac:dyDescent="0.5">
      <c r="A503" s="12" t="s">
        <v>64</v>
      </c>
      <c r="B503" s="21" t="str">
        <f>"44446116"</f>
        <v>44446116</v>
      </c>
      <c r="C503" s="22" t="str">
        <f>"HSS T-Nutenfräser ø 16 mm"</f>
        <v>HSS T-Nutenfräser ø 16 mm</v>
      </c>
      <c r="D503" s="23">
        <v>9.0399999999999991</v>
      </c>
    </row>
    <row r="504" spans="1:4" x14ac:dyDescent="0.5">
      <c r="B504" s="14" t="str">
        <f>"44446125"</f>
        <v>44446125</v>
      </c>
      <c r="C504" s="15" t="str">
        <f>"HSS T-Nutenfräser  ø 25 mm"</f>
        <v>HSS T-Nutenfräser  ø 25 mm</v>
      </c>
      <c r="D504" s="16">
        <v>15.24</v>
      </c>
    </row>
    <row r="505" spans="1:4" x14ac:dyDescent="0.5">
      <c r="B505" s="14" t="str">
        <f>"44446132"</f>
        <v>44446132</v>
      </c>
      <c r="C505" s="15" t="str">
        <f>"HSS T-Nutenfräser ø 32 mm"</f>
        <v>HSS T-Nutenfräser ø 32 mm</v>
      </c>
      <c r="D505" s="16">
        <v>19.920000000000002</v>
      </c>
    </row>
    <row r="506" spans="1:4" x14ac:dyDescent="0.5">
      <c r="B506" s="14" t="str">
        <f>"44446140"</f>
        <v>44446140</v>
      </c>
      <c r="C506" s="15" t="str">
        <f>"HSS T-Nutenfräser ø 40 mm"</f>
        <v>HSS T-Nutenfräser ø 40 mm</v>
      </c>
      <c r="D506" s="16">
        <v>27.99</v>
      </c>
    </row>
    <row r="507" spans="1:4" ht="18.899999999999999" thickBot="1" x14ac:dyDescent="0.55000000000000004">
      <c r="A507" s="17"/>
      <c r="B507" s="18" t="str">
        <f>"44446150"</f>
        <v>44446150</v>
      </c>
      <c r="C507" s="19" t="str">
        <f>"HSS T-Nutenfräser ø 50 mm"</f>
        <v>HSS T-Nutenfräser ø 50 mm</v>
      </c>
      <c r="D507" s="20">
        <v>37.25</v>
      </c>
    </row>
    <row r="508" spans="1:4" x14ac:dyDescent="0.5">
      <c r="A508" s="12" t="s">
        <v>65</v>
      </c>
      <c r="B508" s="21" t="str">
        <f>"44446206"</f>
        <v>44446206</v>
      </c>
      <c r="C508" s="22" t="str">
        <f>"HSS-NC-Anbohrer - ø 6 mm"</f>
        <v>HSS-NC-Anbohrer - ø 6 mm</v>
      </c>
      <c r="D508" s="23">
        <v>5.23</v>
      </c>
    </row>
    <row r="509" spans="1:4" x14ac:dyDescent="0.5">
      <c r="B509" s="14" t="str">
        <f>"44446208"</f>
        <v>44446208</v>
      </c>
      <c r="C509" s="15" t="str">
        <f>"HSS NC-Anbohrer ø 8 mm"</f>
        <v>HSS NC-Anbohrer ø 8 mm</v>
      </c>
      <c r="D509" s="16">
        <v>5.23</v>
      </c>
    </row>
    <row r="510" spans="1:4" x14ac:dyDescent="0.5">
      <c r="B510" s="14" t="str">
        <f>"44446210"</f>
        <v>44446210</v>
      </c>
      <c r="C510" s="15" t="str">
        <f>"HSS NC-Anbohrer ø 10 mm"</f>
        <v>HSS NC-Anbohrer ø 10 mm</v>
      </c>
      <c r="D510" s="16">
        <v>5.23</v>
      </c>
    </row>
    <row r="511" spans="1:4" x14ac:dyDescent="0.5">
      <c r="B511" s="14" t="str">
        <f>"44446212"</f>
        <v>44446212</v>
      </c>
      <c r="C511" s="15" t="str">
        <f>"HSS NC-Anbohrer ø 12 mm"</f>
        <v>HSS NC-Anbohrer ø 12 mm</v>
      </c>
      <c r="D511" s="16">
        <v>5.23</v>
      </c>
    </row>
    <row r="512" spans="1:4" x14ac:dyDescent="0.5">
      <c r="B512" s="14" t="str">
        <f>"44446214"</f>
        <v>44446214</v>
      </c>
      <c r="C512" s="15" t="str">
        <f>"HSS NC-Anbohrer ø 14 mm"</f>
        <v>HSS NC-Anbohrer ø 14 mm</v>
      </c>
      <c r="D512" s="16">
        <v>5.23</v>
      </c>
    </row>
    <row r="513" spans="1:4" x14ac:dyDescent="0.5">
      <c r="B513" s="14" t="str">
        <f>"44446216"</f>
        <v>44446216</v>
      </c>
      <c r="C513" s="15" t="str">
        <f>"HSS NC-Anbohrer ø 16 mm"</f>
        <v>HSS NC-Anbohrer ø 16 mm</v>
      </c>
      <c r="D513" s="16">
        <v>5.23</v>
      </c>
    </row>
    <row r="514" spans="1:4" x14ac:dyDescent="0.5">
      <c r="B514" s="14" t="str">
        <f>"44446218"</f>
        <v>44446218</v>
      </c>
      <c r="C514" s="15" t="str">
        <f>"HSS NC-Anbohrer ø 18 mm"</f>
        <v>HSS NC-Anbohrer ø 18 mm</v>
      </c>
      <c r="D514" s="16">
        <v>5.23</v>
      </c>
    </row>
    <row r="515" spans="1:4" x14ac:dyDescent="0.5">
      <c r="B515" s="14" t="str">
        <f>"44446220"</f>
        <v>44446220</v>
      </c>
      <c r="C515" s="15" t="str">
        <f>"HSS NC-Anbohrer ø 20 mm"</f>
        <v>HSS NC-Anbohrer ø 20 mm</v>
      </c>
      <c r="D515" s="16">
        <v>7.95</v>
      </c>
    </row>
    <row r="516" spans="1:4" ht="18.899999999999999" thickBot="1" x14ac:dyDescent="0.55000000000000004">
      <c r="A516" s="17"/>
      <c r="B516" s="18" t="str">
        <f>"44446225"</f>
        <v>44446225</v>
      </c>
      <c r="C516" s="19" t="str">
        <f>"HSS NC-Anbohrer ø 25 mm"</f>
        <v>HSS NC-Anbohrer ø 25 mm</v>
      </c>
      <c r="D516" s="20">
        <v>7.95</v>
      </c>
    </row>
    <row r="517" spans="1:4" x14ac:dyDescent="0.5">
      <c r="A517" s="12" t="s">
        <v>66</v>
      </c>
      <c r="B517" s="21" t="str">
        <f>"44446405"</f>
        <v>44446405</v>
      </c>
      <c r="C517" s="22" t="str">
        <f>"VHM-Viertelkreisfräser R1-5"</f>
        <v>VHM-Viertelkreisfräser R1-5</v>
      </c>
      <c r="D517" s="23">
        <v>17.309999999999999</v>
      </c>
    </row>
    <row r="518" spans="1:4" x14ac:dyDescent="0.5">
      <c r="B518" s="14" t="str">
        <f>"44446410"</f>
        <v>44446410</v>
      </c>
      <c r="C518" s="15" t="str">
        <f>"VHM-Viertelkreisfräser -ø10mm"</f>
        <v>VHM-Viertelkreisfräser -ø10mm</v>
      </c>
      <c r="D518" s="16">
        <v>17.3</v>
      </c>
    </row>
    <row r="519" spans="1:4" x14ac:dyDescent="0.5">
      <c r="B519" s="14" t="str">
        <f>"44446412"</f>
        <v>44446412</v>
      </c>
      <c r="C519" s="15" t="str">
        <f>"VHM-Viertelkreisfräser R12"</f>
        <v>VHM-Viertelkreisfräser R12</v>
      </c>
      <c r="D519" s="16">
        <v>33.6</v>
      </c>
    </row>
    <row r="520" spans="1:4" x14ac:dyDescent="0.5">
      <c r="B520" s="14" t="str">
        <f>"44446414"</f>
        <v>44446414</v>
      </c>
      <c r="C520" s="15" t="str">
        <f>"VHM-Viertelkreisfräser -ø14mm"</f>
        <v>VHM-Viertelkreisfräser -ø14mm</v>
      </c>
      <c r="D520" s="16">
        <v>24.42</v>
      </c>
    </row>
    <row r="521" spans="1:4" x14ac:dyDescent="0.5">
      <c r="B521" s="14" t="str">
        <f>"44446420"</f>
        <v>44446420</v>
      </c>
      <c r="C521" s="15" t="str">
        <f>"VHM-Viertelkreisfräser -ø20mm"</f>
        <v>VHM-Viertelkreisfräser -ø20mm</v>
      </c>
      <c r="D521" s="16">
        <v>33.6</v>
      </c>
    </row>
    <row r="522" spans="1:4" ht="18.899999999999999" thickBot="1" x14ac:dyDescent="0.55000000000000004">
      <c r="A522" s="17"/>
      <c r="B522" s="18" t="str">
        <f>"44446425"</f>
        <v>44446425</v>
      </c>
      <c r="C522" s="19" t="str">
        <f>"VHM-Viertelkreisfräser -ø25mm"</f>
        <v>VHM-Viertelkreisfräser -ø25mm</v>
      </c>
      <c r="D522" s="20">
        <v>36.81</v>
      </c>
    </row>
    <row r="523" spans="1:4" x14ac:dyDescent="0.5">
      <c r="A523" s="12" t="s">
        <v>67</v>
      </c>
      <c r="B523" s="21" t="str">
        <f>"44446505"</f>
        <v>44446505</v>
      </c>
      <c r="C523" s="22" t="str">
        <f>"HSS-Viertelkreisfräser R1-5"</f>
        <v>HSS-Viertelkreisfräser R1-5</v>
      </c>
      <c r="D523" s="23">
        <v>11.53</v>
      </c>
    </row>
    <row r="524" spans="1:4" x14ac:dyDescent="0.5">
      <c r="B524" s="14" t="str">
        <f>"44446510"</f>
        <v>44446510</v>
      </c>
      <c r="C524" s="15" t="str">
        <f>"HSS-Viertelkreisfräser R 6-10"</f>
        <v>HSS-Viertelkreisfräser R 6-10</v>
      </c>
      <c r="D524" s="16">
        <v>16.28</v>
      </c>
    </row>
    <row r="525" spans="1:4" x14ac:dyDescent="0.5">
      <c r="B525" s="14" t="str">
        <f>"44446512"</f>
        <v>44446512</v>
      </c>
      <c r="C525" s="15" t="str">
        <f>"HSS-Viertelkreisfräser R12"</f>
        <v>HSS-Viertelkreisfräser R12</v>
      </c>
      <c r="D525" s="16">
        <v>22.41</v>
      </c>
    </row>
    <row r="526" spans="1:4" ht="18.899999999999999" thickBot="1" x14ac:dyDescent="0.55000000000000004">
      <c r="A526" s="17"/>
      <c r="B526" s="18" t="str">
        <f>"44446516"</f>
        <v>44446516</v>
      </c>
      <c r="C526" s="19" t="str">
        <f>"HSS-Viertelkreisfräser R16"</f>
        <v>HSS-Viertelkreisfräser R16</v>
      </c>
      <c r="D526" s="20">
        <v>24.52</v>
      </c>
    </row>
    <row r="527" spans="1:4" x14ac:dyDescent="0.5">
      <c r="A527" s="12" t="s">
        <v>68</v>
      </c>
      <c r="B527" s="21" t="str">
        <f>"44446663"</f>
        <v>44446663</v>
      </c>
      <c r="C527" s="22" t="str">
        <f>"HSS-Scheibenfräser ø 63 mm"</f>
        <v>HSS-Scheibenfräser ø 63 mm</v>
      </c>
      <c r="D527" s="23">
        <v>20.71</v>
      </c>
    </row>
    <row r="528" spans="1:4" x14ac:dyDescent="0.5">
      <c r="B528" s="14" t="str">
        <f>"44446680"</f>
        <v>44446680</v>
      </c>
      <c r="C528" s="15" t="str">
        <f>"HSS-Scheibenfräser ø 80 mm"</f>
        <v>HSS-Scheibenfräser ø 80 mm</v>
      </c>
      <c r="D528" s="16">
        <v>27.58</v>
      </c>
    </row>
    <row r="529" spans="1:4" x14ac:dyDescent="0.5">
      <c r="B529" s="14" t="str">
        <f>"444466100"</f>
        <v>444466100</v>
      </c>
      <c r="C529" s="15" t="str">
        <f>"HSS-Scheibenfräser ø 100 mm"</f>
        <v>HSS-Scheibenfräser ø 100 mm</v>
      </c>
      <c r="D529" s="16">
        <v>30.01</v>
      </c>
    </row>
    <row r="530" spans="1:4" x14ac:dyDescent="0.5">
      <c r="B530" s="14" t="str">
        <f>"444466125"</f>
        <v>444466125</v>
      </c>
      <c r="C530" s="15" t="str">
        <f>"HSS-Scheibenfräser ø 125 mm"</f>
        <v>HSS-Scheibenfräser ø 125 mm</v>
      </c>
      <c r="D530" s="16">
        <v>37.35</v>
      </c>
    </row>
    <row r="531" spans="1:4" x14ac:dyDescent="0.5">
      <c r="B531" s="14" t="str">
        <f>"444466160"</f>
        <v>444466160</v>
      </c>
      <c r="C531" s="15" t="str">
        <f>"HSS-Scheibenfräser ø 160 mm"</f>
        <v>HSS-Scheibenfräser ø 160 mm</v>
      </c>
      <c r="D531" s="16">
        <v>43.36</v>
      </c>
    </row>
    <row r="532" spans="1:4" x14ac:dyDescent="0.5">
      <c r="B532" s="14" t="str">
        <f>"444466200"</f>
        <v>444466200</v>
      </c>
      <c r="C532" s="15" t="str">
        <f>"HSS-Scheibenfräser ø 200 mm"</f>
        <v>HSS-Scheibenfräser ø 200 mm</v>
      </c>
      <c r="D532" s="16">
        <v>47.36</v>
      </c>
    </row>
    <row r="533" spans="1:4" ht="18.899999999999999" thickBot="1" x14ac:dyDescent="0.55000000000000004">
      <c r="A533" s="17"/>
      <c r="B533" s="18" t="str">
        <f>"444466250"</f>
        <v>444466250</v>
      </c>
      <c r="C533" s="19" t="str">
        <f>"HSS-Scheibenfräser ø 250 mm"</f>
        <v>HSS-Scheibenfräser ø 250 mm</v>
      </c>
      <c r="D533" s="20">
        <v>60.97</v>
      </c>
    </row>
    <row r="534" spans="1:4" x14ac:dyDescent="0.5">
      <c r="A534" s="12" t="s">
        <v>47</v>
      </c>
      <c r="B534" s="21" t="str">
        <f>"44446706"</f>
        <v>44446706</v>
      </c>
      <c r="C534" s="22" t="str">
        <f>"VHM-Fräser HPC Art.245... - ø 6,0 mm"</f>
        <v>VHM-Fräser HPC Art.245... - ø 6,0 mm</v>
      </c>
      <c r="D534" s="23">
        <v>16.88</v>
      </c>
    </row>
    <row r="535" spans="1:4" x14ac:dyDescent="0.5">
      <c r="B535" s="14" t="str">
        <f>"44446708"</f>
        <v>44446708</v>
      </c>
      <c r="C535" s="15" t="str">
        <f>"VHM-Fräser HPC Art.245... - ø 8,0 mm"</f>
        <v>VHM-Fräser HPC Art.245... - ø 8,0 mm</v>
      </c>
      <c r="D535" s="16">
        <v>17.73</v>
      </c>
    </row>
    <row r="536" spans="1:4" x14ac:dyDescent="0.5">
      <c r="B536" s="14" t="str">
        <f>"44446710"</f>
        <v>44446710</v>
      </c>
      <c r="C536" s="15" t="str">
        <f>"VHM-Fräser HPC Art.245... - ø 10,0 mm"</f>
        <v>VHM-Fräser HPC Art.245... - ø 10,0 mm</v>
      </c>
      <c r="D536" s="16">
        <v>19.68</v>
      </c>
    </row>
    <row r="537" spans="1:4" x14ac:dyDescent="0.5">
      <c r="B537" s="14" t="str">
        <f>"44446712"</f>
        <v>44446712</v>
      </c>
      <c r="C537" s="15" t="str">
        <f>"VHM-Fräser HPC Art.245... - ø 12,0 mm"</f>
        <v>VHM-Fräser HPC Art.245... - ø 12,0 mm</v>
      </c>
      <c r="D537" s="16">
        <v>20.82</v>
      </c>
    </row>
    <row r="538" spans="1:4" x14ac:dyDescent="0.5">
      <c r="B538" s="14" t="str">
        <f>"44446714"</f>
        <v>44446714</v>
      </c>
      <c r="C538" s="15" t="str">
        <f>"VHM-Fräser HPC Art.245... - ø 14,0 mm"</f>
        <v>VHM-Fräser HPC Art.245... - ø 14,0 mm</v>
      </c>
      <c r="D538" s="16">
        <v>25.69</v>
      </c>
    </row>
    <row r="539" spans="1:4" x14ac:dyDescent="0.5">
      <c r="B539" s="14" t="str">
        <f>"44446716"</f>
        <v>44446716</v>
      </c>
      <c r="C539" s="15" t="str">
        <f>"VHM-Fräser HPC Art.245... - ø 16,0 mm"</f>
        <v>VHM-Fräser HPC Art.245... - ø 16,0 mm</v>
      </c>
      <c r="D539" s="16">
        <v>27.09</v>
      </c>
    </row>
    <row r="540" spans="1:4" x14ac:dyDescent="0.5">
      <c r="B540" s="14" t="str">
        <f>"44446718"</f>
        <v>44446718</v>
      </c>
      <c r="C540" s="15" t="str">
        <f>"VHM-Fräser HPC Art.245... - ø 18,0 mm"</f>
        <v>VHM-Fräser HPC Art.245... - ø 18,0 mm</v>
      </c>
      <c r="D540" s="16">
        <v>27.93</v>
      </c>
    </row>
    <row r="541" spans="1:4" x14ac:dyDescent="0.5">
      <c r="B541" s="14" t="str">
        <f>"44446720"</f>
        <v>44446720</v>
      </c>
      <c r="C541" s="15" t="str">
        <f>"VHM-Fräser HPC Art.245... - ø 20,0 mm"</f>
        <v>VHM-Fräser HPC Art.245... - ø 20,0 mm</v>
      </c>
      <c r="D541" s="16">
        <v>33.369999999999997</v>
      </c>
    </row>
    <row r="542" spans="1:4" ht="18.899999999999999" thickBot="1" x14ac:dyDescent="0.55000000000000004">
      <c r="A542" s="17"/>
      <c r="B542" s="18" t="str">
        <f>"44446725"</f>
        <v>44446725</v>
      </c>
      <c r="C542" s="19" t="str">
        <f>"VHM-Fräser HPC Art.245... - ø 25,0 mm"</f>
        <v>VHM-Fräser HPC Art.245... - ø 25,0 mm</v>
      </c>
      <c r="D542" s="20">
        <v>48.47</v>
      </c>
    </row>
    <row r="543" spans="1:4" x14ac:dyDescent="0.5">
      <c r="A543" s="12" t="s">
        <v>69</v>
      </c>
      <c r="B543" s="21" t="str">
        <f>"44446806"</f>
        <v>44446806</v>
      </c>
      <c r="C543" s="22" t="str">
        <f>"VHM-Schaftfräser Alu-Cutter Art.407…-ø6,0"</f>
        <v>VHM-Schaftfräser Alu-Cutter Art.407…-ø6,0</v>
      </c>
      <c r="D543" s="23">
        <v>12.02</v>
      </c>
    </row>
    <row r="544" spans="1:4" x14ac:dyDescent="0.5">
      <c r="B544" s="14" t="str">
        <f>"44446808"</f>
        <v>44446808</v>
      </c>
      <c r="C544" s="15" t="str">
        <f>"VHM-Schaftfräser Alu-Cutter Art.407…-ø8,0"</f>
        <v>VHM-Schaftfräser Alu-Cutter Art.407…-ø8,0</v>
      </c>
      <c r="D544" s="16">
        <v>12.87</v>
      </c>
    </row>
    <row r="545" spans="1:4" x14ac:dyDescent="0.5">
      <c r="B545" s="14" t="str">
        <f>"44446810"</f>
        <v>44446810</v>
      </c>
      <c r="C545" s="15" t="str">
        <f>"VHM-Schaftfräser Alu-Cutter Art.407…-ø10,0"</f>
        <v>VHM-Schaftfräser Alu-Cutter Art.407…-ø10,0</v>
      </c>
      <c r="D545" s="16">
        <v>15.54</v>
      </c>
    </row>
    <row r="546" spans="1:4" x14ac:dyDescent="0.5">
      <c r="B546" s="14" t="str">
        <f>"44446812"</f>
        <v>44446812</v>
      </c>
      <c r="C546" s="15" t="str">
        <f>"VHM-Schaftfräser Alu-Cutter Art.407…-ø12,0"</f>
        <v>VHM-Schaftfräser Alu-Cutter Art.407…-ø12,0</v>
      </c>
      <c r="D546" s="16">
        <v>16.28</v>
      </c>
    </row>
    <row r="547" spans="1:4" x14ac:dyDescent="0.5">
      <c r="B547" s="14" t="str">
        <f>"44446814"</f>
        <v>44446814</v>
      </c>
      <c r="C547" s="15" t="str">
        <f>"VHM-Schaftfräser Alu-Cutter Art.407…-ø14,0"</f>
        <v>VHM-Schaftfräser Alu-Cutter Art.407…-ø14,0</v>
      </c>
      <c r="D547" s="16">
        <v>17</v>
      </c>
    </row>
    <row r="548" spans="1:4" x14ac:dyDescent="0.5">
      <c r="B548" s="14" t="str">
        <f>"44446816"</f>
        <v>44446816</v>
      </c>
      <c r="C548" s="15" t="str">
        <f>"VHM-Schaftfräser Alu-Cutter Art.407…-ø16,0"</f>
        <v>VHM-Schaftfräser Alu-Cutter Art.407…-ø16,0</v>
      </c>
      <c r="D548" s="16">
        <v>19.190000000000001</v>
      </c>
    </row>
    <row r="549" spans="1:4" x14ac:dyDescent="0.5">
      <c r="B549" s="14" t="str">
        <f>"44446818"</f>
        <v>44446818</v>
      </c>
      <c r="C549" s="15" t="str">
        <f>"VHM-Schaftfräser Alu-Cutter Art.407…-ø18,0"</f>
        <v>VHM-Schaftfräser Alu-Cutter Art.407…-ø18,0</v>
      </c>
      <c r="D549" s="16">
        <v>20.03</v>
      </c>
    </row>
    <row r="550" spans="1:4" x14ac:dyDescent="0.5">
      <c r="B550" s="14" t="str">
        <f>"44446820"</f>
        <v>44446820</v>
      </c>
      <c r="C550" s="15" t="str">
        <f>"VHM-Schaftfräser Alu-Cutter Art.407…-ø20,0"</f>
        <v>VHM-Schaftfräser Alu-Cutter Art.407…-ø20,0</v>
      </c>
      <c r="D550" s="16">
        <v>23.91</v>
      </c>
    </row>
    <row r="551" spans="1:4" ht="18.899999999999999" thickBot="1" x14ac:dyDescent="0.55000000000000004">
      <c r="A551" s="17"/>
      <c r="B551" s="18" t="str">
        <f>"44446825"</f>
        <v>44446825</v>
      </c>
      <c r="C551" s="19" t="str">
        <f>"VHM-Schaftfräser Alu-Cutter Art.407…-ø25,0"</f>
        <v>VHM-Schaftfräser Alu-Cutter Art.407…-ø25,0</v>
      </c>
      <c r="D551" s="20">
        <v>37.04</v>
      </c>
    </row>
    <row r="552" spans="1:4" x14ac:dyDescent="0.5">
      <c r="A552" s="12" t="s">
        <v>70</v>
      </c>
      <c r="B552" s="21" t="str">
        <f>"44446906"</f>
        <v>44446906</v>
      </c>
      <c r="C552" s="22" t="str">
        <f>"VHM-Stirntorusfräser - ø 6,0 mm"</f>
        <v>VHM-Stirntorusfräser - ø 6,0 mm</v>
      </c>
      <c r="D552" s="23">
        <v>21.4</v>
      </c>
    </row>
    <row r="553" spans="1:4" x14ac:dyDescent="0.5">
      <c r="B553" s="14" t="str">
        <f>"44446908"</f>
        <v>44446908</v>
      </c>
      <c r="C553" s="15" t="str">
        <f>"VHM-Stirntorusfräser - ø 8,0 mm"</f>
        <v>VHM-Stirntorusfräser - ø 8,0 mm</v>
      </c>
      <c r="D553" s="16">
        <v>22.56</v>
      </c>
    </row>
    <row r="554" spans="1:4" x14ac:dyDescent="0.5">
      <c r="B554" s="14" t="str">
        <f>"44446910"</f>
        <v>44446910</v>
      </c>
      <c r="C554" s="15" t="str">
        <f>"VHM-Stirntorusfräser - ø 10,0 mm"</f>
        <v>VHM-Stirntorusfräser - ø 10,0 mm</v>
      </c>
      <c r="D554" s="16">
        <v>23.71</v>
      </c>
    </row>
    <row r="555" spans="1:4" x14ac:dyDescent="0.5">
      <c r="B555" s="14" t="str">
        <f>"44446912"</f>
        <v>44446912</v>
      </c>
      <c r="C555" s="15" t="str">
        <f>"VHM-Stirntorusfräser - ø 12,0 mm"</f>
        <v>VHM-Stirntorusfräser - ø 12,0 mm</v>
      </c>
      <c r="D555" s="16">
        <v>27.18</v>
      </c>
    </row>
    <row r="556" spans="1:4" x14ac:dyDescent="0.5">
      <c r="B556" s="14" t="str">
        <f>"44446914"</f>
        <v>44446914</v>
      </c>
      <c r="C556" s="15" t="str">
        <f>"VHM-Stirntorusfräser - ø 14,0 mm"</f>
        <v>VHM-Stirntorusfräser - ø 14,0 mm</v>
      </c>
      <c r="D556" s="16">
        <v>27.88</v>
      </c>
    </row>
    <row r="557" spans="1:4" x14ac:dyDescent="0.5">
      <c r="B557" s="14" t="str">
        <f>"44446916"</f>
        <v>44446916</v>
      </c>
      <c r="C557" s="15" t="str">
        <f>"VHM-Stirntorusfräser - ø 16,0 mm"</f>
        <v>VHM-Stirntorusfräser - ø 16,0 mm</v>
      </c>
      <c r="D557" s="16">
        <v>31.8</v>
      </c>
    </row>
    <row r="558" spans="1:4" x14ac:dyDescent="0.5">
      <c r="B558" s="14" t="str">
        <f>"44446918"</f>
        <v>44446918</v>
      </c>
      <c r="C558" s="15" t="str">
        <f>"VHM-Stirntorusfräser - ø 18,0 mm"</f>
        <v>VHM-Stirntorusfräser - ø 18,0 mm</v>
      </c>
      <c r="D558" s="16">
        <v>32.840000000000003</v>
      </c>
    </row>
    <row r="559" spans="1:4" ht="18.899999999999999" thickBot="1" x14ac:dyDescent="0.55000000000000004">
      <c r="A559" s="17"/>
      <c r="B559" s="18" t="str">
        <f>"44446920"</f>
        <v>44446920</v>
      </c>
      <c r="C559" s="19" t="str">
        <f>"VHM-Stirntorusfräser - ø 20,0 mm"</f>
        <v>VHM-Stirntorusfräser - ø 20,0 mm</v>
      </c>
      <c r="D559" s="20">
        <v>34.590000000000003</v>
      </c>
    </row>
    <row r="560" spans="1:4" x14ac:dyDescent="0.5">
      <c r="A560" s="12" t="s">
        <v>71</v>
      </c>
      <c r="B560" s="21" t="str">
        <f>"44447006"</f>
        <v>44447006</v>
      </c>
      <c r="C560" s="22" t="str">
        <f>"VHM-Hochleistungsbohrer 20-30xD - ø 6,0 mm"</f>
        <v>VHM-Hochleistungsbohrer 20-30xD - ø 6,0 mm</v>
      </c>
      <c r="D560" s="23">
        <v>42.38</v>
      </c>
    </row>
    <row r="561" spans="1:4" x14ac:dyDescent="0.5">
      <c r="B561" s="14" t="str">
        <f>"44447008"</f>
        <v>44447008</v>
      </c>
      <c r="C561" s="15" t="str">
        <f>"VHM-Hochleistungsbohrer 20-30xD - ø 8,0 mm"</f>
        <v>VHM-Hochleistungsbohrer 20-30xD - ø 8,0 mm</v>
      </c>
      <c r="D561" s="16">
        <v>55.74</v>
      </c>
    </row>
    <row r="562" spans="1:4" x14ac:dyDescent="0.5">
      <c r="B562" s="14" t="str">
        <f>"44447010"</f>
        <v>44447010</v>
      </c>
      <c r="C562" s="15" t="str">
        <f>"VHM-Hochleistungsbohrer 20-30xD - ø 10,0 mm"</f>
        <v>VHM-Hochleistungsbohrer 20-30xD - ø 10,0 mm</v>
      </c>
      <c r="D562" s="16">
        <v>60.6</v>
      </c>
    </row>
    <row r="563" spans="1:4" x14ac:dyDescent="0.5">
      <c r="B563" s="14" t="str">
        <f>"44447012"</f>
        <v>44447012</v>
      </c>
      <c r="C563" s="15" t="str">
        <f>"VHM-Hochleistungsbohrer 20-30xD - ø 12,0 mm"</f>
        <v>VHM-Hochleistungsbohrer 20-30xD - ø 12,0 mm</v>
      </c>
      <c r="D563" s="16">
        <v>64.97</v>
      </c>
    </row>
    <row r="564" spans="1:4" ht="18.899999999999999" thickBot="1" x14ac:dyDescent="0.55000000000000004">
      <c r="A564" s="17"/>
      <c r="B564" s="18" t="str">
        <f>"44447014"</f>
        <v>44447014</v>
      </c>
      <c r="C564" s="19" t="str">
        <f>"VHM-Hochleistungsbohrer 20-30xD - ø 14,0 mm"</f>
        <v>VHM-Hochleistungsbohrer 20-30xD - ø 14,0 mm</v>
      </c>
      <c r="D564" s="20">
        <v>69.83</v>
      </c>
    </row>
    <row r="565" spans="1:4" x14ac:dyDescent="0.5">
      <c r="A565" s="26" t="s">
        <v>95</v>
      </c>
      <c r="B565" s="21" t="str">
        <f>"444470106"</f>
        <v>444470106</v>
      </c>
      <c r="C565" s="22" t="str">
        <f>"VHM-Hochleistungsbohrer 10-15xD - ø 6,0 mm"</f>
        <v>VHM-Hochleistungsbohrer 10-15xD - ø 6,0 mm</v>
      </c>
      <c r="D565" s="23">
        <v>29.68</v>
      </c>
    </row>
    <row r="566" spans="1:4" x14ac:dyDescent="0.5">
      <c r="B566" s="14" t="str">
        <f>"444470108"</f>
        <v>444470108</v>
      </c>
      <c r="C566" s="15" t="str">
        <f>"VHM-Hochleistungsbohrer 10-15xD - ø 8,0 mm"</f>
        <v>VHM-Hochleistungsbohrer 10-15xD - ø 8,0 mm</v>
      </c>
      <c r="D566" s="16">
        <v>39.03</v>
      </c>
    </row>
    <row r="567" spans="1:4" x14ac:dyDescent="0.5">
      <c r="B567" s="14" t="str">
        <f>"444470110"</f>
        <v>444470110</v>
      </c>
      <c r="C567" s="15" t="str">
        <f>"VHM-Hochleistungsbohrer 10-15xD - ø 10,0 mm"</f>
        <v>VHM-Hochleistungsbohrer 10-15xD - ø 10,0 mm</v>
      </c>
      <c r="D567" s="16">
        <v>42.42</v>
      </c>
    </row>
    <row r="568" spans="1:4" x14ac:dyDescent="0.5">
      <c r="B568" s="14" t="str">
        <f>"444470112"</f>
        <v>444470112</v>
      </c>
      <c r="C568" s="15" t="str">
        <f>"VHM-Hochleistungsbohrer 10-15xD - ø 12,0 mm"</f>
        <v>VHM-Hochleistungsbohrer 10-15xD - ø 12,0 mm</v>
      </c>
      <c r="D568" s="16">
        <v>45.5</v>
      </c>
    </row>
    <row r="569" spans="1:4" ht="18.899999999999999" thickBot="1" x14ac:dyDescent="0.55000000000000004">
      <c r="A569" s="17"/>
      <c r="B569" s="18" t="str">
        <f>"444470114"</f>
        <v>444470114</v>
      </c>
      <c r="C569" s="19" t="str">
        <f>"VHM-Hochleistungsbohrer 10-15xD - ø 14,0 mm"</f>
        <v>VHM-Hochleistungsbohrer 10-15xD - ø 14,0 mm</v>
      </c>
      <c r="D569" s="20">
        <v>48.89</v>
      </c>
    </row>
    <row r="570" spans="1:4" x14ac:dyDescent="0.5">
      <c r="A570" s="12" t="s">
        <v>72</v>
      </c>
      <c r="B570" s="21" t="str">
        <f>"44447306"</f>
        <v>44447306</v>
      </c>
      <c r="C570" s="22" t="str">
        <f>"VHM-Fräser Power HP³ -ø 6,0mm"</f>
        <v>VHM-Fräser Power HP³ -ø 6,0mm</v>
      </c>
      <c r="D570" s="23">
        <v>12.7</v>
      </c>
    </row>
    <row r="571" spans="1:4" x14ac:dyDescent="0.5">
      <c r="B571" s="14" t="str">
        <f>"44447308"</f>
        <v>44447308</v>
      </c>
      <c r="C571" s="15" t="str">
        <f>"VHM-Fräser Power HP³ -ø 8,0mm"</f>
        <v>VHM-Fräser Power HP³ -ø 8,0mm</v>
      </c>
      <c r="D571" s="16">
        <v>13.38</v>
      </c>
    </row>
    <row r="572" spans="1:4" x14ac:dyDescent="0.5">
      <c r="B572" s="14" t="str">
        <f>"44447310"</f>
        <v>44447310</v>
      </c>
      <c r="C572" s="15" t="str">
        <f>"VHM-Fräser Power HP³ -ø 10,0mm"</f>
        <v>VHM-Fräser Power HP³ -ø 10,0mm</v>
      </c>
      <c r="D572" s="16">
        <v>15.49</v>
      </c>
    </row>
    <row r="573" spans="1:4" x14ac:dyDescent="0.5">
      <c r="B573" s="14" t="str">
        <f>"44447312"</f>
        <v>44447312</v>
      </c>
      <c r="C573" s="15" t="str">
        <f>"VHM-Fräser Power HP³ -ø 12,0mm"</f>
        <v>VHM-Fräser Power HP³ -ø 12,0mm</v>
      </c>
      <c r="D573" s="16">
        <v>17.45</v>
      </c>
    </row>
    <row r="574" spans="1:4" x14ac:dyDescent="0.5">
      <c r="B574" s="14" t="str">
        <f>"44447314"</f>
        <v>44447314</v>
      </c>
      <c r="C574" s="15" t="str">
        <f>"VHM-Fräser Power HP³ -ø 14,0mm"</f>
        <v>VHM-Fräser Power HP³ -ø 14,0mm</v>
      </c>
      <c r="D574" s="16">
        <v>19.48</v>
      </c>
    </row>
    <row r="575" spans="1:4" x14ac:dyDescent="0.5">
      <c r="B575" s="14" t="str">
        <f>"44447316"</f>
        <v>44447316</v>
      </c>
      <c r="C575" s="15" t="str">
        <f>"VHM-Fräser Power HP³ -ø 16,0mm"</f>
        <v>VHM-Fräser Power HP³ -ø 16,0mm</v>
      </c>
      <c r="D575" s="16">
        <v>21.56</v>
      </c>
    </row>
    <row r="576" spans="1:4" x14ac:dyDescent="0.5">
      <c r="B576" s="14" t="str">
        <f>"44447318"</f>
        <v>44447318</v>
      </c>
      <c r="C576" s="15" t="str">
        <f>"VHM-Fräser Power HP³ -ø 18,0mm"</f>
        <v>VHM-Fräser Power HP³ -ø 18,0mm</v>
      </c>
      <c r="D576" s="16">
        <v>22.21</v>
      </c>
    </row>
    <row r="577" spans="1:4" x14ac:dyDescent="0.5">
      <c r="B577" s="14" t="str">
        <f>"44447320"</f>
        <v>44447320</v>
      </c>
      <c r="C577" s="15" t="str">
        <f>"VHM-Fräser Power HP³ -ø 20,0mm"</f>
        <v>VHM-Fräser Power HP³ -ø 20,0mm</v>
      </c>
      <c r="D577" s="16">
        <v>24.73</v>
      </c>
    </row>
    <row r="578" spans="1:4" ht="18.899999999999999" thickBot="1" x14ac:dyDescent="0.55000000000000004">
      <c r="A578" s="17"/>
      <c r="B578" s="18" t="str">
        <f>"44447325"</f>
        <v>44447325</v>
      </c>
      <c r="C578" s="19" t="str">
        <f>"VHM-Fräser Power HP³ -ø 25,0mm"</f>
        <v>VHM-Fräser Power HP³ -ø 25,0mm</v>
      </c>
      <c r="D578" s="20">
        <v>38.630000000000003</v>
      </c>
    </row>
    <row r="579" spans="1:4" x14ac:dyDescent="0.5">
      <c r="A579" s="26" t="s">
        <v>83</v>
      </c>
      <c r="B579" s="21" t="str">
        <f>"444474006"</f>
        <v>444474006</v>
      </c>
      <c r="C579" s="22" t="str">
        <f>"VHM-Passungsbohrer -ø6mm"</f>
        <v>VHM-Passungsbohrer -ø6mm</v>
      </c>
      <c r="D579" s="23">
        <v>11.55</v>
      </c>
    </row>
    <row r="580" spans="1:4" x14ac:dyDescent="0.5">
      <c r="B580" s="14" t="str">
        <f>"444474008"</f>
        <v>444474008</v>
      </c>
      <c r="C580" s="27" t="str">
        <f>"VHM-Passungsbohrer -ø8mm"</f>
        <v>VHM-Passungsbohrer -ø8mm</v>
      </c>
      <c r="D580" s="16">
        <v>12.68</v>
      </c>
    </row>
    <row r="581" spans="1:4" x14ac:dyDescent="0.5">
      <c r="B581" s="14" t="str">
        <f>"444474010"</f>
        <v>444474010</v>
      </c>
      <c r="C581" s="15" t="str">
        <f>"VHM-Passungsbohrer -ø10mm"</f>
        <v>VHM-Passungsbohrer -ø10mm</v>
      </c>
      <c r="D581" s="16">
        <v>14.27</v>
      </c>
    </row>
    <row r="582" spans="1:4" x14ac:dyDescent="0.5">
      <c r="B582" s="14" t="str">
        <f>"444474012"</f>
        <v>444474012</v>
      </c>
      <c r="C582" s="15" t="str">
        <f>"VHM-Passungsbohrer -ø12mm"</f>
        <v>VHM-Passungsbohrer -ø12mm</v>
      </c>
      <c r="D582" s="16">
        <v>15.19</v>
      </c>
    </row>
    <row r="583" spans="1:4" x14ac:dyDescent="0.5">
      <c r="B583" s="14" t="str">
        <f>"444474014"</f>
        <v>444474014</v>
      </c>
      <c r="C583" s="15" t="str">
        <f>"VHM-Passungsbohrer -ø14mm"</f>
        <v>VHM-Passungsbohrer -ø14mm</v>
      </c>
      <c r="D583" s="16">
        <v>16.04</v>
      </c>
    </row>
    <row r="584" spans="1:4" x14ac:dyDescent="0.5">
      <c r="B584" s="14" t="str">
        <f>"444474016"</f>
        <v>444474016</v>
      </c>
      <c r="C584" s="15" t="str">
        <f>"VHM-Passungsbohrer -ø16mm"</f>
        <v>VHM-Passungsbohrer -ø16mm</v>
      </c>
      <c r="D584" s="16">
        <v>19.010000000000002</v>
      </c>
    </row>
    <row r="585" spans="1:4" x14ac:dyDescent="0.5">
      <c r="B585" s="14" t="str">
        <f>"444474018"</f>
        <v>444474018</v>
      </c>
      <c r="C585" s="15" t="str">
        <f>"VHM-Passungsbohrer -ø18mm"</f>
        <v>VHM-Passungsbohrer -ø18mm</v>
      </c>
      <c r="D585" s="16">
        <v>20.41</v>
      </c>
    </row>
    <row r="586" spans="1:4" ht="18.899999999999999" thickBot="1" x14ac:dyDescent="0.55000000000000004">
      <c r="A586" s="17"/>
      <c r="B586" s="18" t="str">
        <f>"444474020"</f>
        <v>444474020</v>
      </c>
      <c r="C586" s="19" t="str">
        <f>"VHM-Passungsbohrer -ø20mm"</f>
        <v>VHM-Passungsbohrer -ø20mm</v>
      </c>
      <c r="D586" s="20">
        <v>21.94</v>
      </c>
    </row>
    <row r="587" spans="1:4" x14ac:dyDescent="0.5">
      <c r="A587" s="12" t="s">
        <v>73</v>
      </c>
      <c r="B587" s="21" t="str">
        <f>"44447406"</f>
        <v>44447406</v>
      </c>
      <c r="C587" s="22" t="str">
        <f>"VHM-Spezialhochleistungsbohrer -ø6mm"</f>
        <v>VHM-Spezialhochleistungsbohrer -ø6mm</v>
      </c>
      <c r="D587" s="23">
        <v>11.55</v>
      </c>
    </row>
    <row r="588" spans="1:4" x14ac:dyDescent="0.5">
      <c r="B588" s="14" t="str">
        <f>"44447408"</f>
        <v>44447408</v>
      </c>
      <c r="C588" s="15" t="str">
        <f>"VHM-Spezialhochleistungsbohrer -ø8mm"</f>
        <v>VHM-Spezialhochleistungsbohrer -ø8mm</v>
      </c>
      <c r="D588" s="16">
        <v>12.68</v>
      </c>
    </row>
    <row r="589" spans="1:4" x14ac:dyDescent="0.5">
      <c r="B589" s="14" t="str">
        <f>"44447410"</f>
        <v>44447410</v>
      </c>
      <c r="C589" s="15" t="str">
        <f>"VHM-Spezialhochleistungsbohrer -ø10mm"</f>
        <v>VHM-Spezialhochleistungsbohrer -ø10mm</v>
      </c>
      <c r="D589" s="16">
        <v>14.27</v>
      </c>
    </row>
    <row r="590" spans="1:4" x14ac:dyDescent="0.5">
      <c r="B590" s="14" t="str">
        <f>"44447412"</f>
        <v>44447412</v>
      </c>
      <c r="C590" s="15" t="str">
        <f>"VHM-Spezialhochleistungsbohrer -ø12mm"</f>
        <v>VHM-Spezialhochleistungsbohrer -ø12mm</v>
      </c>
      <c r="D590" s="16">
        <v>15.19</v>
      </c>
    </row>
    <row r="591" spans="1:4" x14ac:dyDescent="0.5">
      <c r="B591" s="14" t="str">
        <f>"44447414"</f>
        <v>44447414</v>
      </c>
      <c r="C591" s="15" t="str">
        <f>"VHM-Spezialhochleistungsbohrer -ø14mm"</f>
        <v>VHM-Spezialhochleistungsbohrer -ø14mm</v>
      </c>
      <c r="D591" s="16">
        <v>16.04</v>
      </c>
    </row>
    <row r="592" spans="1:4" x14ac:dyDescent="0.5">
      <c r="B592" s="14" t="str">
        <f>"44447416"</f>
        <v>44447416</v>
      </c>
      <c r="C592" s="15" t="str">
        <f>"VHM-Spezialhochleistungsbohrer -ø16mm"</f>
        <v>VHM-Spezialhochleistungsbohrer -ø16mm</v>
      </c>
      <c r="D592" s="16">
        <v>19.010000000000002</v>
      </c>
    </row>
    <row r="593" spans="1:4" x14ac:dyDescent="0.5">
      <c r="B593" s="14" t="str">
        <f>"44447418"</f>
        <v>44447418</v>
      </c>
      <c r="C593" s="15" t="str">
        <f>"VHM-Spezialhochleistungsbohrer -ø18mm"</f>
        <v>VHM-Spezialhochleistungsbohrer -ø18mm</v>
      </c>
      <c r="D593" s="16">
        <v>20.41</v>
      </c>
    </row>
    <row r="594" spans="1:4" x14ac:dyDescent="0.5">
      <c r="B594" s="14" t="str">
        <f>"44447420"</f>
        <v>44447420</v>
      </c>
      <c r="C594" s="15" t="str">
        <f>"VHM-Spezialhochleistungsbohrer -ø20mm"</f>
        <v>VHM-Spezialhochleistungsbohrer -ø20mm</v>
      </c>
      <c r="D594" s="16">
        <v>21.94</v>
      </c>
    </row>
    <row r="595" spans="1:4" ht="18.899999999999999" thickBot="1" x14ac:dyDescent="0.55000000000000004">
      <c r="A595" s="17"/>
      <c r="B595" s="18" t="str">
        <f>"44447425"</f>
        <v>44447425</v>
      </c>
      <c r="C595" s="19" t="str">
        <f>"VHM-Spezialhochleistungsbohrer -ø25mm"</f>
        <v>VHM-Spezialhochleistungsbohrer -ø25mm</v>
      </c>
      <c r="D595" s="20">
        <v>25.43</v>
      </c>
    </row>
    <row r="596" spans="1:4" x14ac:dyDescent="0.5">
      <c r="A596" s="26" t="s">
        <v>82</v>
      </c>
      <c r="B596" s="21" t="str">
        <f>"444475006"</f>
        <v>444475006</v>
      </c>
      <c r="C596" s="22" t="str">
        <f>"VHM-Passungsbohrer -ø6mm"</f>
        <v>VHM-Passungsbohrer -ø6mm</v>
      </c>
      <c r="D596" s="23">
        <v>23.08</v>
      </c>
    </row>
    <row r="597" spans="1:4" x14ac:dyDescent="0.5">
      <c r="B597" s="14" t="str">
        <f>"444475008"</f>
        <v>444475008</v>
      </c>
      <c r="C597" s="15" t="str">
        <f>"VHM-Passungsbohrer -ø8mm"</f>
        <v>VHM-Passungsbohrer -ø8mm</v>
      </c>
      <c r="D597" s="16">
        <v>25.35</v>
      </c>
    </row>
    <row r="598" spans="1:4" x14ac:dyDescent="0.5">
      <c r="B598" s="14" t="str">
        <f>"444475010"</f>
        <v>444475010</v>
      </c>
      <c r="C598" s="15" t="str">
        <f>"VHM-Passungsbohrer -ø10mm"</f>
        <v>VHM-Passungsbohrer -ø10mm</v>
      </c>
      <c r="D598" s="16">
        <v>28.54</v>
      </c>
    </row>
    <row r="599" spans="1:4" x14ac:dyDescent="0.5">
      <c r="B599" s="14" t="str">
        <f>"444475012"</f>
        <v>444475012</v>
      </c>
      <c r="C599" s="15" t="str">
        <f>"VHM-Passungsbohrer -ø12mm"</f>
        <v>VHM-Passungsbohrer -ø12mm</v>
      </c>
      <c r="D599" s="16">
        <v>30.37</v>
      </c>
    </row>
    <row r="600" spans="1:4" x14ac:dyDescent="0.5">
      <c r="B600" s="14" t="str">
        <f>"444475014"</f>
        <v>444475014</v>
      </c>
      <c r="C600" s="15" t="str">
        <f>"VHM-Passungsbohrer -ø14mm"</f>
        <v>VHM-Passungsbohrer -ø14mm</v>
      </c>
      <c r="D600" s="16">
        <v>32.06</v>
      </c>
    </row>
    <row r="601" spans="1:4" x14ac:dyDescent="0.5">
      <c r="B601" s="14" t="str">
        <f>"444475016"</f>
        <v>444475016</v>
      </c>
      <c r="C601" s="15" t="str">
        <f>"VHM-Passungsbohrer -ø16mm"</f>
        <v>VHM-Passungsbohrer -ø16mm</v>
      </c>
      <c r="D601" s="16">
        <v>38</v>
      </c>
    </row>
    <row r="602" spans="1:4" x14ac:dyDescent="0.5">
      <c r="B602" s="14" t="str">
        <f>"444475018"</f>
        <v>444475018</v>
      </c>
      <c r="C602" s="15" t="str">
        <f>"VHM-Passungsbohrer -ø18mm"</f>
        <v>VHM-Passungsbohrer -ø18mm</v>
      </c>
      <c r="D602" s="16">
        <v>40.799999999999997</v>
      </c>
    </row>
    <row r="603" spans="1:4" x14ac:dyDescent="0.5">
      <c r="B603" s="14" t="str">
        <f>"444475020"</f>
        <v>444475020</v>
      </c>
      <c r="C603" s="15" t="str">
        <f>"VHM-Passungsbohrer -ø20mm"</f>
        <v>VHM-Passungsbohrer -ø20mm</v>
      </c>
      <c r="D603" s="16">
        <v>43.85</v>
      </c>
    </row>
    <row r="604" spans="1:4" ht="18.899999999999999" thickBot="1" x14ac:dyDescent="0.55000000000000004">
      <c r="A604" s="17"/>
      <c r="B604" s="18" t="str">
        <f>"444475025"</f>
        <v>444475025</v>
      </c>
      <c r="C604" s="19" t="str">
        <f>"VHM-Passungsbohrer -ø25mm"</f>
        <v>VHM-Passungsbohrer -ø25mm</v>
      </c>
      <c r="D604" s="20">
        <v>50.86</v>
      </c>
    </row>
    <row r="605" spans="1:4" x14ac:dyDescent="0.5">
      <c r="A605" s="12" t="s">
        <v>49</v>
      </c>
      <c r="B605" s="21" t="str">
        <f>"44447506"</f>
        <v>44447506</v>
      </c>
      <c r="C605" s="22" t="str">
        <f>"VHM-Spezialhochleistungsbohrer -ø6mm"</f>
        <v>VHM-Spezialhochleistungsbohrer -ø6mm</v>
      </c>
      <c r="D605" s="23">
        <v>23.08</v>
      </c>
    </row>
    <row r="606" spans="1:4" x14ac:dyDescent="0.5">
      <c r="B606" s="14" t="str">
        <f>"44447508"</f>
        <v>44447508</v>
      </c>
      <c r="C606" s="15" t="str">
        <f>"VHM-Spezialhochleistungsbohrer -ø8mm"</f>
        <v>VHM-Spezialhochleistungsbohrer -ø8mm</v>
      </c>
      <c r="D606" s="16">
        <v>25.35</v>
      </c>
    </row>
    <row r="607" spans="1:4" x14ac:dyDescent="0.5">
      <c r="B607" s="14" t="str">
        <f>"44447510"</f>
        <v>44447510</v>
      </c>
      <c r="C607" s="15" t="str">
        <f>"VHM-Spezialhochleistungsbohrer -ø10mm"</f>
        <v>VHM-Spezialhochleistungsbohrer -ø10mm</v>
      </c>
      <c r="D607" s="16">
        <v>28.54</v>
      </c>
    </row>
    <row r="608" spans="1:4" x14ac:dyDescent="0.5">
      <c r="B608" s="14" t="str">
        <f>"44447512"</f>
        <v>44447512</v>
      </c>
      <c r="C608" s="15" t="str">
        <f>"VHM-Spezialhochleistungsbohrer -ø12mm"</f>
        <v>VHM-Spezialhochleistungsbohrer -ø12mm</v>
      </c>
      <c r="D608" s="16">
        <v>30.37</v>
      </c>
    </row>
    <row r="609" spans="1:4" x14ac:dyDescent="0.5">
      <c r="B609" s="14" t="str">
        <f>"44447514"</f>
        <v>44447514</v>
      </c>
      <c r="C609" s="15" t="str">
        <f>"VHM-Spezialhochleistungsbohrer -ø14mm"</f>
        <v>VHM-Spezialhochleistungsbohrer -ø14mm</v>
      </c>
      <c r="D609" s="16">
        <v>32.06</v>
      </c>
    </row>
    <row r="610" spans="1:4" x14ac:dyDescent="0.5">
      <c r="B610" s="14" t="str">
        <f>"44447516"</f>
        <v>44447516</v>
      </c>
      <c r="C610" s="15" t="str">
        <f>"VHM-Spezialhochleistungsbohrer -ø16mm"</f>
        <v>VHM-Spezialhochleistungsbohrer -ø16mm</v>
      </c>
      <c r="D610" s="16">
        <v>38</v>
      </c>
    </row>
    <row r="611" spans="1:4" x14ac:dyDescent="0.5">
      <c r="B611" s="14" t="str">
        <f>"44447518"</f>
        <v>44447518</v>
      </c>
      <c r="C611" s="15" t="str">
        <f>"VHM-Spezialhochleistungsbohrer -ø18mm"</f>
        <v>VHM-Spezialhochleistungsbohrer -ø18mm</v>
      </c>
      <c r="D611" s="16">
        <v>40.799999999999997</v>
      </c>
    </row>
    <row r="612" spans="1:4" x14ac:dyDescent="0.5">
      <c r="B612" s="14" t="str">
        <f>"44447520"</f>
        <v>44447520</v>
      </c>
      <c r="C612" s="15" t="str">
        <f>"VHM-Spezialhochleistungsbohrer -ø20mm"</f>
        <v>VHM-Spezialhochleistungsbohrer -ø20mm</v>
      </c>
      <c r="D612" s="16">
        <v>43.85</v>
      </c>
    </row>
    <row r="613" spans="1:4" ht="18.899999999999999" thickBot="1" x14ac:dyDescent="0.55000000000000004">
      <c r="A613" s="17"/>
      <c r="B613" s="18" t="str">
        <f>"44447525"</f>
        <v>44447525</v>
      </c>
      <c r="C613" s="19" t="str">
        <f>"VHM-Spezialhochleistungsbohrer -ø25mm"</f>
        <v>VHM-Spezialhochleistungsbohrer -ø25mm</v>
      </c>
      <c r="D613" s="20">
        <v>50.86</v>
      </c>
    </row>
    <row r="614" spans="1:4" x14ac:dyDescent="0.5">
      <c r="A614" s="12" t="s">
        <v>74</v>
      </c>
      <c r="B614" s="21" t="str">
        <f>"44447606"</f>
        <v>44447606</v>
      </c>
      <c r="C614" s="22" t="str">
        <f>"HSS-Schaftfräser Überlang bis 8Z -ø6,0"</f>
        <v>HSS-Schaftfräser Überlang bis 8Z -ø6,0</v>
      </c>
      <c r="D614" s="23">
        <v>9.61</v>
      </c>
    </row>
    <row r="615" spans="1:4" x14ac:dyDescent="0.5">
      <c r="B615" s="14" t="str">
        <f>"44447608"</f>
        <v>44447608</v>
      </c>
      <c r="C615" s="15" t="str">
        <f>"HSS-Schaftfräser Überlang bis 8Z -ø8,0"</f>
        <v>HSS-Schaftfräser Überlang bis 8Z -ø8,0</v>
      </c>
      <c r="D615" s="16">
        <v>9.61</v>
      </c>
    </row>
    <row r="616" spans="1:4" x14ac:dyDescent="0.5">
      <c r="B616" s="14" t="str">
        <f>"44447610"</f>
        <v>44447610</v>
      </c>
      <c r="C616" s="15" t="str">
        <f>"HSS-Schaftfräser Überlang bis 8Z -ø10,0"</f>
        <v>HSS-Schaftfräser Überlang bis 8Z -ø10,0</v>
      </c>
      <c r="D616" s="16">
        <v>9.61</v>
      </c>
    </row>
    <row r="617" spans="1:4" x14ac:dyDescent="0.5">
      <c r="B617" s="14" t="str">
        <f>"44447612"</f>
        <v>44447612</v>
      </c>
      <c r="C617" s="15" t="str">
        <f>"HSS-Schaftfräser Überlang bis 8Z -ø12,0"</f>
        <v>HSS-Schaftfräser Überlang bis 8Z -ø12,0</v>
      </c>
      <c r="D617" s="16">
        <v>13.57</v>
      </c>
    </row>
    <row r="618" spans="1:4" x14ac:dyDescent="0.5">
      <c r="B618" s="14" t="str">
        <f>"44447614"</f>
        <v>44447614</v>
      </c>
      <c r="C618" s="15" t="str">
        <f>"HSS-Schaftfräser Überlang bis 8Z -ø14,0"</f>
        <v>HSS-Schaftfräser Überlang bis 8Z -ø14,0</v>
      </c>
      <c r="D618" s="16">
        <v>13.57</v>
      </c>
    </row>
    <row r="619" spans="1:4" x14ac:dyDescent="0.5">
      <c r="B619" s="14" t="str">
        <f>"44447616"</f>
        <v>44447616</v>
      </c>
      <c r="C619" s="15" t="str">
        <f>"HSS-Schaftfräser Überlang bis 8Z -ø16,0"</f>
        <v>HSS-Schaftfräser Überlang bis 8Z -ø16,0</v>
      </c>
      <c r="D619" s="16">
        <v>18.46</v>
      </c>
    </row>
    <row r="620" spans="1:4" x14ac:dyDescent="0.5">
      <c r="B620" s="14" t="str">
        <f>"44447618"</f>
        <v>44447618</v>
      </c>
      <c r="C620" s="15" t="str">
        <f>"HSS-Schaftfräser Überlang bis 8Z -ø18,0"</f>
        <v>HSS-Schaftfräser Überlang bis 8Z -ø18,0</v>
      </c>
      <c r="D620" s="16">
        <v>18.46</v>
      </c>
    </row>
    <row r="621" spans="1:4" x14ac:dyDescent="0.5">
      <c r="B621" s="14" t="str">
        <f>"44447620"</f>
        <v>44447620</v>
      </c>
      <c r="C621" s="15" t="str">
        <f>"HSS-Schaftfräser Überlang bis 8Z -ø20,0"</f>
        <v>HSS-Schaftfräser Überlang bis 8Z -ø20,0</v>
      </c>
      <c r="D621" s="16">
        <v>18.46</v>
      </c>
    </row>
    <row r="622" spans="1:4" x14ac:dyDescent="0.5">
      <c r="B622" s="14" t="str">
        <f>"44447625"</f>
        <v>44447625</v>
      </c>
      <c r="C622" s="15" t="str">
        <f>"HSS-Schaftfräser Überlang bis 8Z -ø25,0"</f>
        <v>HSS-Schaftfräser Überlang bis 8Z -ø25,0</v>
      </c>
      <c r="D622" s="16">
        <v>27.82</v>
      </c>
    </row>
    <row r="623" spans="1:4" x14ac:dyDescent="0.5">
      <c r="B623" s="14" t="str">
        <f>"44447630"</f>
        <v>44447630</v>
      </c>
      <c r="C623" s="15" t="str">
        <f>"HSS-Schaftfräser Überlang bis 8Z -ø30,0"</f>
        <v>HSS-Schaftfräser Überlang bis 8Z -ø30,0</v>
      </c>
      <c r="D623" s="16">
        <v>27.82</v>
      </c>
    </row>
    <row r="624" spans="1:4" x14ac:dyDescent="0.5">
      <c r="B624" s="14" t="str">
        <f>"44447640"</f>
        <v>44447640</v>
      </c>
      <c r="C624" s="15" t="str">
        <f>"HSS-Schaftfräser Überlang bis 8Z -ø40,0"</f>
        <v>HSS-Schaftfräser Überlang bis 8Z -ø40,0</v>
      </c>
      <c r="D624" s="16">
        <v>41.4</v>
      </c>
    </row>
    <row r="625" spans="1:4" ht="18.899999999999999" thickBot="1" x14ac:dyDescent="0.55000000000000004">
      <c r="A625" s="17"/>
      <c r="B625" s="18" t="str">
        <f>"44447650"</f>
        <v>44447650</v>
      </c>
      <c r="C625" s="19" t="str">
        <f>"HSS-Schaftfräser Überlang bis 8Z -ø50,0"</f>
        <v>HSS-Schaftfräser Überlang bis 8Z -ø50,0</v>
      </c>
      <c r="D625" s="20">
        <v>60.54</v>
      </c>
    </row>
    <row r="626" spans="1:4" x14ac:dyDescent="0.5">
      <c r="A626" s="12" t="s">
        <v>48</v>
      </c>
      <c r="B626" s="21" t="str">
        <f>"44447706"</f>
        <v>44447706</v>
      </c>
      <c r="C626" s="22" t="str">
        <f>"HSS-Schruppfräser Überlang bis 8Z -ø6,0"</f>
        <v>HSS-Schruppfräser Überlang bis 8Z -ø6,0</v>
      </c>
      <c r="D626" s="23">
        <v>11.55</v>
      </c>
    </row>
    <row r="627" spans="1:4" x14ac:dyDescent="0.5">
      <c r="B627" s="14" t="str">
        <f>"44447708"</f>
        <v>44447708</v>
      </c>
      <c r="C627" s="15" t="str">
        <f>"HSS-Schruppfräser Überlang bis 8Z -ø8,0"</f>
        <v>HSS-Schruppfräser Überlang bis 8Z -ø8,0</v>
      </c>
      <c r="D627" s="16">
        <v>11.55</v>
      </c>
    </row>
    <row r="628" spans="1:4" x14ac:dyDescent="0.5">
      <c r="B628" s="14" t="str">
        <f>"44447710"</f>
        <v>44447710</v>
      </c>
      <c r="C628" s="15" t="str">
        <f>"HSS-Schruppfräser Überlang bis 8Z -ø10,0"</f>
        <v>HSS-Schruppfräser Überlang bis 8Z -ø10,0</v>
      </c>
      <c r="D628" s="16">
        <v>11.55</v>
      </c>
    </row>
    <row r="629" spans="1:4" x14ac:dyDescent="0.5">
      <c r="B629" s="14" t="str">
        <f>"44447712"</f>
        <v>44447712</v>
      </c>
      <c r="C629" s="15" t="str">
        <f>"HSS-Schruppfräser Überlang bis 8Z -ø12,0"</f>
        <v>HSS-Schruppfräser Überlang bis 8Z -ø12,0</v>
      </c>
      <c r="D629" s="16">
        <v>16.3</v>
      </c>
    </row>
    <row r="630" spans="1:4" x14ac:dyDescent="0.5">
      <c r="B630" s="14" t="str">
        <f>"44447714"</f>
        <v>44447714</v>
      </c>
      <c r="C630" s="15" t="str">
        <f>"HSS-Schruppfräser Überlang bis 8Z -ø14,0"</f>
        <v>HSS-Schruppfräser Überlang bis 8Z -ø14,0</v>
      </c>
      <c r="D630" s="16">
        <v>16.3</v>
      </c>
    </row>
    <row r="631" spans="1:4" x14ac:dyDescent="0.5">
      <c r="B631" s="14" t="str">
        <f>"44447716"</f>
        <v>44447716</v>
      </c>
      <c r="C631" s="15" t="str">
        <f>"HSS-Schruppfräser Überlang bis 8Z -ø16,0"</f>
        <v>HSS-Schruppfräser Überlang bis 8Z -ø16,0</v>
      </c>
      <c r="D631" s="16">
        <v>22.16</v>
      </c>
    </row>
    <row r="632" spans="1:4" x14ac:dyDescent="0.5">
      <c r="B632" s="14" t="str">
        <f>"44447718"</f>
        <v>44447718</v>
      </c>
      <c r="C632" s="15" t="str">
        <f>"HSS-Schruppfräser Überlang bis 8Z -ø18,0"</f>
        <v>HSS-Schruppfräser Überlang bis 8Z -ø18,0</v>
      </c>
      <c r="D632" s="16">
        <v>22.16</v>
      </c>
    </row>
    <row r="633" spans="1:4" x14ac:dyDescent="0.5">
      <c r="B633" s="14" t="str">
        <f>"44447720"</f>
        <v>44447720</v>
      </c>
      <c r="C633" s="15" t="str">
        <f>"HSS-Schruppfräser Überlang bis 8Z -ø20,0"</f>
        <v>HSS-Schruppfräser Überlang bis 8Z -ø20,0</v>
      </c>
      <c r="D633" s="16">
        <v>22.16</v>
      </c>
    </row>
    <row r="634" spans="1:4" x14ac:dyDescent="0.5">
      <c r="B634" s="14" t="str">
        <f>"44447725"</f>
        <v>44447725</v>
      </c>
      <c r="C634" s="15" t="str">
        <f>"HSS-Schruppfräser Überlang bis 8Z -ø25,0"</f>
        <v>HSS-Schruppfräser Überlang bis 8Z -ø25,0</v>
      </c>
      <c r="D634" s="16">
        <v>33.369999999999997</v>
      </c>
    </row>
    <row r="635" spans="1:4" x14ac:dyDescent="0.5">
      <c r="B635" s="14" t="str">
        <f>"44447730"</f>
        <v>44447730</v>
      </c>
      <c r="C635" s="15" t="str">
        <f>"HSS-Schruppfräser Überlang bis 8Z -ø30,0"</f>
        <v>HSS-Schruppfräser Überlang bis 8Z -ø30,0</v>
      </c>
      <c r="D635" s="16">
        <v>33.369999999999997</v>
      </c>
    </row>
    <row r="636" spans="1:4" x14ac:dyDescent="0.5">
      <c r="B636" s="14" t="str">
        <f>"44447740"</f>
        <v>44447740</v>
      </c>
      <c r="C636" s="15" t="str">
        <f>"HSS-Schruppfräser Überlang bis 8Z -ø40,0"</f>
        <v>HSS-Schruppfräser Überlang bis 8Z -ø40,0</v>
      </c>
      <c r="D636" s="16">
        <v>49.69</v>
      </c>
    </row>
    <row r="637" spans="1:4" ht="18.899999999999999" thickBot="1" x14ac:dyDescent="0.55000000000000004">
      <c r="A637" s="17"/>
      <c r="B637" s="18" t="str">
        <f>"44447750"</f>
        <v>44447750</v>
      </c>
      <c r="C637" s="19" t="str">
        <f>"HSS-Schruppfräser Überlang bis 8Z -ø50,0"</f>
        <v>HSS-Schruppfräser Überlang bis 8Z -ø50,0</v>
      </c>
      <c r="D637" s="20">
        <v>72.64</v>
      </c>
    </row>
    <row r="638" spans="1:4" x14ac:dyDescent="0.5">
      <c r="A638" s="12" t="s">
        <v>75</v>
      </c>
      <c r="B638" s="21" t="str">
        <f>"44447806"</f>
        <v>44447806</v>
      </c>
      <c r="C638" s="22" t="str">
        <f>"VHM-Schaftfräser -8Z(konisch) Überlang -ø6,0"</f>
        <v>VHM-Schaftfräser -8Z(konisch) Überlang -ø6,0</v>
      </c>
      <c r="D638" s="23">
        <v>14.46</v>
      </c>
    </row>
    <row r="639" spans="1:4" x14ac:dyDescent="0.5">
      <c r="B639" s="14" t="str">
        <f>"44447808"</f>
        <v>44447808</v>
      </c>
      <c r="C639" s="15" t="str">
        <f>"VHM-Schaftfräser -8Z(konisch) Überlang -ø8,0"</f>
        <v>VHM-Schaftfräser -8Z(konisch) Überlang -ø8,0</v>
      </c>
      <c r="D639" s="16">
        <v>14.46</v>
      </c>
    </row>
    <row r="640" spans="1:4" x14ac:dyDescent="0.5">
      <c r="B640" s="14" t="str">
        <f>"44447810"</f>
        <v>44447810</v>
      </c>
      <c r="C640" s="15" t="str">
        <f>"VHM-Schaftfräser -8Z(konisch) Überlang -ø10,0"</f>
        <v>VHM-Schaftfräser -8Z(konisch) Überlang -ø10,0</v>
      </c>
      <c r="D640" s="16">
        <v>14.46</v>
      </c>
    </row>
    <row r="641" spans="1:4" x14ac:dyDescent="0.5">
      <c r="B641" s="14" t="str">
        <f>"44447812"</f>
        <v>44447812</v>
      </c>
      <c r="C641" s="15" t="str">
        <f>"VHM-Schaftfräser -8Z(konisch) Überlang -ø12,0"</f>
        <v>VHM-Schaftfräser -8Z(konisch) Überlang -ø12,0</v>
      </c>
      <c r="D641" s="16">
        <v>20.47</v>
      </c>
    </row>
    <row r="642" spans="1:4" x14ac:dyDescent="0.5">
      <c r="B642" s="14" t="str">
        <f>"44447814"</f>
        <v>44447814</v>
      </c>
      <c r="C642" s="15" t="str">
        <f>"VHM-Schaftfräser -8Z(konisch) Überlang -ø14,0"</f>
        <v>VHM-Schaftfräser -8Z(konisch) Überlang -ø14,0</v>
      </c>
      <c r="D642" s="16">
        <v>20.47</v>
      </c>
    </row>
    <row r="643" spans="1:4" x14ac:dyDescent="0.5">
      <c r="B643" s="14" t="str">
        <f>"44447816"</f>
        <v>44447816</v>
      </c>
      <c r="C643" s="15" t="str">
        <f>"VHM-Schaftfräser -8Z(konisch) Überlang -ø16,0"</f>
        <v>VHM-Schaftfräser -8Z(konisch) Überlang -ø16,0</v>
      </c>
      <c r="D643" s="16">
        <v>27.82</v>
      </c>
    </row>
    <row r="644" spans="1:4" x14ac:dyDescent="0.5">
      <c r="B644" s="14" t="str">
        <f>"44447818"</f>
        <v>44447818</v>
      </c>
      <c r="C644" s="15" t="str">
        <f>"VHM-Schaftfräser -8Z(konisch) Überlang -ø18,0"</f>
        <v>VHM-Schaftfräser -8Z(konisch) Überlang -ø18,0</v>
      </c>
      <c r="D644" s="16">
        <v>27.82</v>
      </c>
    </row>
    <row r="645" spans="1:4" x14ac:dyDescent="0.5">
      <c r="B645" s="14" t="str">
        <f>"44447820"</f>
        <v>44447820</v>
      </c>
      <c r="C645" s="15" t="str">
        <f>"VHM-Schaftfräser -8Z(konisch) Überlang -ø20,0"</f>
        <v>VHM-Schaftfräser -8Z(konisch) Überlang -ø20,0</v>
      </c>
      <c r="D645" s="16">
        <v>27.82</v>
      </c>
    </row>
    <row r="646" spans="1:4" x14ac:dyDescent="0.5">
      <c r="B646" s="14" t="str">
        <f>"44447825"</f>
        <v>44447825</v>
      </c>
      <c r="C646" s="15" t="str">
        <f>"VHM-Schaftfräser -8Z(konisch) Überlang -ø25,0"</f>
        <v>VHM-Schaftfräser -8Z(konisch) Überlang -ø25,0</v>
      </c>
      <c r="D646" s="16">
        <v>41.74</v>
      </c>
    </row>
    <row r="647" spans="1:4" ht="18.899999999999999" thickBot="1" x14ac:dyDescent="0.55000000000000004">
      <c r="A647" s="17"/>
      <c r="B647" s="18" t="str">
        <f>"44447832"</f>
        <v>44447832</v>
      </c>
      <c r="C647" s="19" t="str">
        <f>"VHM-Schaftfräser -8Z(konisch) Überlang -ø32,0"</f>
        <v>VHM-Schaftfräser -8Z(konisch) Überlang -ø32,0</v>
      </c>
      <c r="D647" s="20">
        <v>62.11</v>
      </c>
    </row>
    <row r="648" spans="1:4" x14ac:dyDescent="0.5">
      <c r="A648" s="12" t="s">
        <v>76</v>
      </c>
      <c r="B648" s="21" t="str">
        <f>"44448006"</f>
        <v>44448006</v>
      </c>
      <c r="C648" s="22" t="str">
        <f>"TIALN-Beschichtet - ø 6,0 mm"</f>
        <v>TIALN-Beschichtet - ø 6,0 mm</v>
      </c>
      <c r="D648" s="23">
        <v>3.7</v>
      </c>
    </row>
    <row r="649" spans="1:4" x14ac:dyDescent="0.5">
      <c r="B649" s="14" t="str">
        <f>"44448008"</f>
        <v>44448008</v>
      </c>
      <c r="C649" s="15" t="str">
        <f>"TIALN-Beschichtet - ø 8,0 mm"</f>
        <v>TIALN-Beschichtet - ø 8,0 mm</v>
      </c>
      <c r="D649" s="16">
        <v>4.04</v>
      </c>
    </row>
    <row r="650" spans="1:4" x14ac:dyDescent="0.5">
      <c r="B650" s="14" t="str">
        <f>"44448010"</f>
        <v>44448010</v>
      </c>
      <c r="C650" s="15" t="str">
        <f>"TIALN-Beschichtet - ø 10 mm"</f>
        <v>TIALN-Beschichtet - ø 10 mm</v>
      </c>
      <c r="D650" s="16">
        <v>4.2300000000000004</v>
      </c>
    </row>
    <row r="651" spans="1:4" x14ac:dyDescent="0.5">
      <c r="B651" s="14" t="str">
        <f>"44448012"</f>
        <v>44448012</v>
      </c>
      <c r="C651" s="15" t="str">
        <f>"TIALN-Beschichtet - ø 12 mm"</f>
        <v>TIALN-Beschichtet - ø 12 mm</v>
      </c>
      <c r="D651" s="16">
        <v>4.8099999999999996</v>
      </c>
    </row>
    <row r="652" spans="1:4" x14ac:dyDescent="0.5">
      <c r="B652" s="14" t="str">
        <f>"44448014"</f>
        <v>44448014</v>
      </c>
      <c r="C652" s="15" t="str">
        <f>"TIALN-Beschichtet - ø 14 mm"</f>
        <v>TIALN-Beschichtet - ø 14 mm</v>
      </c>
      <c r="D652" s="16">
        <v>6.37</v>
      </c>
    </row>
    <row r="653" spans="1:4" x14ac:dyDescent="0.5">
      <c r="B653" s="14" t="str">
        <f>"44448016"</f>
        <v>44448016</v>
      </c>
      <c r="C653" s="15" t="str">
        <f>"TIALN-Beschichtet - ø 16 mm"</f>
        <v>TIALN-Beschichtet - ø 16 mm</v>
      </c>
      <c r="D653" s="16">
        <v>6.88</v>
      </c>
    </row>
    <row r="654" spans="1:4" x14ac:dyDescent="0.5">
      <c r="B654" s="14" t="str">
        <f>"44448018"</f>
        <v>44448018</v>
      </c>
      <c r="C654" s="15" t="str">
        <f>"TIALN-Beschichtet - ø 18 mm"</f>
        <v>TIALN-Beschichtet - ø 18 mm</v>
      </c>
      <c r="D654" s="16">
        <v>9.5399999999999991</v>
      </c>
    </row>
    <row r="655" spans="1:4" x14ac:dyDescent="0.5">
      <c r="B655" s="14" t="str">
        <f>"44448020"</f>
        <v>44448020</v>
      </c>
      <c r="C655" s="15" t="str">
        <f>"TIALN-Beschichtet - ø 20 mm"</f>
        <v>TIALN-Beschichtet - ø 20 mm</v>
      </c>
      <c r="D655" s="16">
        <v>9.7200000000000006</v>
      </c>
    </row>
    <row r="656" spans="1:4" x14ac:dyDescent="0.5">
      <c r="B656" s="14" t="str">
        <f>"44448025"</f>
        <v>44448025</v>
      </c>
      <c r="C656" s="15" t="str">
        <f>"TIALN-Beschichtet - ø 25 mm"</f>
        <v>TIALN-Beschichtet - ø 25 mm</v>
      </c>
      <c r="D656" s="16">
        <v>11.33</v>
      </c>
    </row>
    <row r="657" spans="1:4" x14ac:dyDescent="0.5">
      <c r="B657" s="14" t="str">
        <f>"44448032"</f>
        <v>44448032</v>
      </c>
      <c r="C657" s="15" t="str">
        <f>"TIALN-Beschichtet - ø 32 mm"</f>
        <v>TIALN-Beschichtet - ø 32 mm</v>
      </c>
      <c r="D657" s="16">
        <v>18.5</v>
      </c>
    </row>
    <row r="658" spans="1:4" ht="18.899999999999999" thickBot="1" x14ac:dyDescent="0.55000000000000004">
      <c r="A658" s="17"/>
      <c r="B658" s="18" t="str">
        <f>"44448040"</f>
        <v>44448040</v>
      </c>
      <c r="C658" s="19" t="str">
        <f>"TIALN-Beschichtet - ø 40 mm"</f>
        <v>TIALN-Beschichtet - ø 40 mm</v>
      </c>
      <c r="D658" s="20">
        <v>26.59</v>
      </c>
    </row>
    <row r="659" spans="1:4" x14ac:dyDescent="0.5">
      <c r="A659" s="12" t="s">
        <v>77</v>
      </c>
      <c r="B659" s="21" t="str">
        <f>"44448106"</f>
        <v>44448106</v>
      </c>
      <c r="C659" s="22" t="str">
        <f>"ALTIN-Beschichtet - ø 6 mm"</f>
        <v>ALTIN-Beschichtet - ø 6 mm</v>
      </c>
      <c r="D659" s="23">
        <v>3.7</v>
      </c>
    </row>
    <row r="660" spans="1:4" x14ac:dyDescent="0.5">
      <c r="B660" s="14" t="str">
        <f>"44448108"</f>
        <v>44448108</v>
      </c>
      <c r="C660" s="15" t="str">
        <f>"ALTIN-Beschichtet - ø 8 mm"</f>
        <v>ALTIN-Beschichtet - ø 8 mm</v>
      </c>
      <c r="D660" s="16">
        <v>4.04</v>
      </c>
    </row>
    <row r="661" spans="1:4" x14ac:dyDescent="0.5">
      <c r="B661" s="14" t="str">
        <f>"44448110"</f>
        <v>44448110</v>
      </c>
      <c r="C661" s="15" t="str">
        <f>"ALTIN-Beschichtet - ø 10 mm"</f>
        <v>ALTIN-Beschichtet - ø 10 mm</v>
      </c>
      <c r="D661" s="16">
        <v>4.2300000000000004</v>
      </c>
    </row>
    <row r="662" spans="1:4" x14ac:dyDescent="0.5">
      <c r="B662" s="14" t="str">
        <f>"44448112"</f>
        <v>44448112</v>
      </c>
      <c r="C662" s="15" t="str">
        <f>"ALTIN-Beschichtet - ø 12 mm"</f>
        <v>ALTIN-Beschichtet - ø 12 mm</v>
      </c>
      <c r="D662" s="16">
        <v>4.8099999999999996</v>
      </c>
    </row>
    <row r="663" spans="1:4" x14ac:dyDescent="0.5">
      <c r="B663" s="14" t="str">
        <f>"44448114"</f>
        <v>44448114</v>
      </c>
      <c r="C663" s="15" t="str">
        <f>"ALTIN-Beschichtet - ø 14 mm"</f>
        <v>ALTIN-Beschichtet - ø 14 mm</v>
      </c>
      <c r="D663" s="16">
        <v>6.37</v>
      </c>
    </row>
    <row r="664" spans="1:4" x14ac:dyDescent="0.5">
      <c r="B664" s="14" t="str">
        <f>"44448116"</f>
        <v>44448116</v>
      </c>
      <c r="C664" s="15" t="str">
        <f>"ALTIN-Beschichtet - ø 16 mm"</f>
        <v>ALTIN-Beschichtet - ø 16 mm</v>
      </c>
      <c r="D664" s="16">
        <v>6.88</v>
      </c>
    </row>
    <row r="665" spans="1:4" x14ac:dyDescent="0.5">
      <c r="B665" s="14" t="str">
        <f>"44448118"</f>
        <v>44448118</v>
      </c>
      <c r="C665" s="15" t="str">
        <f>"ALTIN-Beschichtet - ø 18 mm"</f>
        <v>ALTIN-Beschichtet - ø 18 mm</v>
      </c>
      <c r="D665" s="16">
        <v>9.5399999999999991</v>
      </c>
    </row>
    <row r="666" spans="1:4" x14ac:dyDescent="0.5">
      <c r="B666" s="14" t="str">
        <f>"44448120"</f>
        <v>44448120</v>
      </c>
      <c r="C666" s="15" t="str">
        <f>"ALTIN-Beschichtet - ø 20 mm"</f>
        <v>ALTIN-Beschichtet - ø 20 mm</v>
      </c>
      <c r="D666" s="16">
        <v>9.7200000000000006</v>
      </c>
    </row>
    <row r="667" spans="1:4" x14ac:dyDescent="0.5">
      <c r="B667" s="14" t="str">
        <f>"44448125"</f>
        <v>44448125</v>
      </c>
      <c r="C667" s="15" t="str">
        <f>"ALTIN-Beschichtet - ø 25 mm"</f>
        <v>ALTIN-Beschichtet - ø 25 mm</v>
      </c>
      <c r="D667" s="16">
        <v>11.33</v>
      </c>
    </row>
    <row r="668" spans="1:4" x14ac:dyDescent="0.5">
      <c r="B668" s="14" t="str">
        <f>"44448132"</f>
        <v>44448132</v>
      </c>
      <c r="C668" s="15" t="str">
        <f>"ALTIN-Beschichtet - ø 32 mm"</f>
        <v>ALTIN-Beschichtet - ø 32 mm</v>
      </c>
      <c r="D668" s="16">
        <v>18.5</v>
      </c>
    </row>
    <row r="669" spans="1:4" ht="18.899999999999999" thickBot="1" x14ac:dyDescent="0.55000000000000004">
      <c r="A669" s="17"/>
      <c r="B669" s="18" t="str">
        <f>"44448140"</f>
        <v>44448140</v>
      </c>
      <c r="C669" s="19" t="str">
        <f>"ALTIN-Beschichtet - ø 40 mm"</f>
        <v>ALTIN-Beschichtet - ø 40 mm</v>
      </c>
      <c r="D669" s="20">
        <v>26.59</v>
      </c>
    </row>
    <row r="670" spans="1:4" x14ac:dyDescent="0.5">
      <c r="A670" s="12" t="s">
        <v>78</v>
      </c>
      <c r="B670" s="21" t="str">
        <f>"44448206"</f>
        <v>44448206</v>
      </c>
      <c r="C670" s="22" t="str">
        <f>"TIALCN-Beschichtet - ø 6 mm"</f>
        <v>TIALCN-Beschichtet - ø 6 mm</v>
      </c>
      <c r="D670" s="23">
        <v>3.7</v>
      </c>
    </row>
    <row r="671" spans="1:4" x14ac:dyDescent="0.5">
      <c r="B671" s="14" t="str">
        <f>"44448208"</f>
        <v>44448208</v>
      </c>
      <c r="C671" s="15" t="str">
        <f>"TIALCN-Beschichtet - ø 8 mm"</f>
        <v>TIALCN-Beschichtet - ø 8 mm</v>
      </c>
      <c r="D671" s="16">
        <v>4.04</v>
      </c>
    </row>
    <row r="672" spans="1:4" x14ac:dyDescent="0.5">
      <c r="B672" s="14" t="str">
        <f>"44448210"</f>
        <v>44448210</v>
      </c>
      <c r="C672" s="15" t="str">
        <f>"TIALCN-Beschichtet - ø 10 mm"</f>
        <v>TIALCN-Beschichtet - ø 10 mm</v>
      </c>
      <c r="D672" s="16">
        <v>4.2300000000000004</v>
      </c>
    </row>
    <row r="673" spans="1:4" x14ac:dyDescent="0.5">
      <c r="B673" s="14" t="str">
        <f>"44448212"</f>
        <v>44448212</v>
      </c>
      <c r="C673" s="15" t="str">
        <f>"TIALCN-Beschichtet - ø 12 mm"</f>
        <v>TIALCN-Beschichtet - ø 12 mm</v>
      </c>
      <c r="D673" s="16">
        <v>4.8099999999999996</v>
      </c>
    </row>
    <row r="674" spans="1:4" x14ac:dyDescent="0.5">
      <c r="B674" s="14" t="str">
        <f>"44448214"</f>
        <v>44448214</v>
      </c>
      <c r="C674" s="15" t="str">
        <f>"TIALCN-Beschichtet - ø 14 mm"</f>
        <v>TIALCN-Beschichtet - ø 14 mm</v>
      </c>
      <c r="D674" s="16">
        <v>6.37</v>
      </c>
    </row>
    <row r="675" spans="1:4" x14ac:dyDescent="0.5">
      <c r="B675" s="14" t="str">
        <f>"44448216"</f>
        <v>44448216</v>
      </c>
      <c r="C675" s="15" t="str">
        <f>"TIALCN-Beschichtet - ø 16 mm"</f>
        <v>TIALCN-Beschichtet - ø 16 mm</v>
      </c>
      <c r="D675" s="16">
        <v>6.88</v>
      </c>
    </row>
    <row r="676" spans="1:4" x14ac:dyDescent="0.5">
      <c r="B676" s="14" t="str">
        <f>"44448218"</f>
        <v>44448218</v>
      </c>
      <c r="C676" s="15" t="str">
        <f>"TIALCN-Beschichtet - ø 18 mm"</f>
        <v>TIALCN-Beschichtet - ø 18 mm</v>
      </c>
      <c r="D676" s="16">
        <v>9.5399999999999991</v>
      </c>
    </row>
    <row r="677" spans="1:4" x14ac:dyDescent="0.5">
      <c r="B677" s="14" t="str">
        <f>"44448220"</f>
        <v>44448220</v>
      </c>
      <c r="C677" s="15" t="str">
        <f>"TIALCN-Beschichtet - ø 20 mm"</f>
        <v>TIALCN-Beschichtet - ø 20 mm</v>
      </c>
      <c r="D677" s="16">
        <v>9.7200000000000006</v>
      </c>
    </row>
    <row r="678" spans="1:4" x14ac:dyDescent="0.5">
      <c r="B678" s="14" t="str">
        <f>"44448225"</f>
        <v>44448225</v>
      </c>
      <c r="C678" s="15" t="str">
        <f>"TIALCN-Beschichtet - ø 25 mm"</f>
        <v>TIALCN-Beschichtet - ø 25 mm</v>
      </c>
      <c r="D678" s="16">
        <v>11.33</v>
      </c>
    </row>
    <row r="679" spans="1:4" x14ac:dyDescent="0.5">
      <c r="B679" s="14" t="str">
        <f>"44448232"</f>
        <v>44448232</v>
      </c>
      <c r="C679" s="15" t="str">
        <f>"TIALCN-Beschichtet - ø 32 mm"</f>
        <v>TIALCN-Beschichtet - ø 32 mm</v>
      </c>
      <c r="D679" s="16">
        <v>18.5</v>
      </c>
    </row>
    <row r="680" spans="1:4" ht="18.899999999999999" thickBot="1" x14ac:dyDescent="0.55000000000000004">
      <c r="A680" s="17"/>
      <c r="B680" s="18" t="str">
        <f>"44448240"</f>
        <v>44448240</v>
      </c>
      <c r="C680" s="19" t="str">
        <f>"TIALCN-Beschichtet - ø 40 mm"</f>
        <v>TIALCN-Beschichtet - ø 40 mm</v>
      </c>
      <c r="D680" s="20">
        <v>26.59</v>
      </c>
    </row>
    <row r="681" spans="1:4" x14ac:dyDescent="0.5">
      <c r="A681" s="12" t="s">
        <v>79</v>
      </c>
      <c r="B681" s="21" t="str">
        <f>"44448306"</f>
        <v>44448306</v>
      </c>
      <c r="C681" s="22" t="str">
        <f>"TICN-Beschichtet - ø 6 mm"</f>
        <v>TICN-Beschichtet - ø 6 mm</v>
      </c>
      <c r="D681" s="23">
        <v>3.7</v>
      </c>
    </row>
    <row r="682" spans="1:4" x14ac:dyDescent="0.5">
      <c r="B682" s="14" t="str">
        <f>"44448308"</f>
        <v>44448308</v>
      </c>
      <c r="C682" s="15" t="str">
        <f>"TICN-Beschichtet - ø 8 mm"</f>
        <v>TICN-Beschichtet - ø 8 mm</v>
      </c>
      <c r="D682" s="16">
        <v>4.04</v>
      </c>
    </row>
    <row r="683" spans="1:4" x14ac:dyDescent="0.5">
      <c r="B683" s="14" t="str">
        <f>"44448310"</f>
        <v>44448310</v>
      </c>
      <c r="C683" s="15" t="str">
        <f>"TICN-Beschichtet - ø 10 mm"</f>
        <v>TICN-Beschichtet - ø 10 mm</v>
      </c>
      <c r="D683" s="16">
        <v>4.2300000000000004</v>
      </c>
    </row>
    <row r="684" spans="1:4" x14ac:dyDescent="0.5">
      <c r="B684" s="14" t="str">
        <f>"44448312"</f>
        <v>44448312</v>
      </c>
      <c r="C684" s="15" t="str">
        <f>"TICN-Beschichtet - ø 12 mm"</f>
        <v>TICN-Beschichtet - ø 12 mm</v>
      </c>
      <c r="D684" s="16">
        <v>4.8099999999999996</v>
      </c>
    </row>
    <row r="685" spans="1:4" x14ac:dyDescent="0.5">
      <c r="B685" s="14" t="str">
        <f>"44448314"</f>
        <v>44448314</v>
      </c>
      <c r="C685" s="15" t="str">
        <f>"TICN-Beschichtet - ø 14 mm"</f>
        <v>TICN-Beschichtet - ø 14 mm</v>
      </c>
      <c r="D685" s="16">
        <v>6.37</v>
      </c>
    </row>
    <row r="686" spans="1:4" x14ac:dyDescent="0.5">
      <c r="B686" s="14" t="str">
        <f>"44448316"</f>
        <v>44448316</v>
      </c>
      <c r="C686" s="15" t="str">
        <f>"TICN-Beschichtet - ø 16 mm"</f>
        <v>TICN-Beschichtet - ø 16 mm</v>
      </c>
      <c r="D686" s="16">
        <v>6.88</v>
      </c>
    </row>
    <row r="687" spans="1:4" x14ac:dyDescent="0.5">
      <c r="B687" s="14" t="str">
        <f>"44448318"</f>
        <v>44448318</v>
      </c>
      <c r="C687" s="15" t="str">
        <f>"TICN-Beschichtet - ø 18 mm"</f>
        <v>TICN-Beschichtet - ø 18 mm</v>
      </c>
      <c r="D687" s="16">
        <v>9.5399999999999991</v>
      </c>
    </row>
    <row r="688" spans="1:4" x14ac:dyDescent="0.5">
      <c r="B688" s="14" t="str">
        <f>"44448320"</f>
        <v>44448320</v>
      </c>
      <c r="C688" s="15" t="str">
        <f>"TICN-Beschichtet - ø 20 mm"</f>
        <v>TICN-Beschichtet - ø 20 mm</v>
      </c>
      <c r="D688" s="16">
        <v>9.7200000000000006</v>
      </c>
    </row>
    <row r="689" spans="1:4" x14ac:dyDescent="0.5">
      <c r="B689" s="14" t="str">
        <f>"44448325"</f>
        <v>44448325</v>
      </c>
      <c r="C689" s="15" t="str">
        <f>"TICN-Beschichtet - ø 25 mm"</f>
        <v>TICN-Beschichtet - ø 25 mm</v>
      </c>
      <c r="D689" s="16">
        <v>11.33</v>
      </c>
    </row>
    <row r="690" spans="1:4" x14ac:dyDescent="0.5">
      <c r="B690" s="14" t="str">
        <f>"44448332"</f>
        <v>44448332</v>
      </c>
      <c r="C690" s="15" t="str">
        <f>"TICN-Beschichtet - ø 32 mm"</f>
        <v>TICN-Beschichtet - ø 32 mm</v>
      </c>
      <c r="D690" s="16">
        <v>18.5</v>
      </c>
    </row>
    <row r="691" spans="1:4" ht="18.899999999999999" thickBot="1" x14ac:dyDescent="0.55000000000000004">
      <c r="A691" s="17"/>
      <c r="B691" s="18" t="str">
        <f>"44448340"</f>
        <v>44448340</v>
      </c>
      <c r="C691" s="19" t="str">
        <f>"TICN-Beschichtet - ø 40 mm"</f>
        <v>TICN-Beschichtet - ø 40 mm</v>
      </c>
      <c r="D691" s="20">
        <v>26.59</v>
      </c>
    </row>
    <row r="692" spans="1:4" x14ac:dyDescent="0.5">
      <c r="A692" s="12" t="s">
        <v>80</v>
      </c>
      <c r="B692" s="21" t="str">
        <f>"44448406"</f>
        <v>44448406</v>
      </c>
      <c r="C692" s="22" t="str">
        <f>"TIN-Beschichtet - ø 6 mm"</f>
        <v>TIN-Beschichtet - ø 6 mm</v>
      </c>
      <c r="D692" s="23">
        <v>3.7</v>
      </c>
    </row>
    <row r="693" spans="1:4" x14ac:dyDescent="0.5">
      <c r="B693" s="14" t="str">
        <f>"44448408"</f>
        <v>44448408</v>
      </c>
      <c r="C693" s="15" t="str">
        <f>"TIN-Beschichtet - ø 8 mm"</f>
        <v>TIN-Beschichtet - ø 8 mm</v>
      </c>
      <c r="D693" s="16">
        <v>4.04</v>
      </c>
    </row>
    <row r="694" spans="1:4" x14ac:dyDescent="0.5">
      <c r="B694" s="14" t="str">
        <f>"44448410"</f>
        <v>44448410</v>
      </c>
      <c r="C694" s="15" t="str">
        <f>"TIN-Beschichtet - ø 10 mm"</f>
        <v>TIN-Beschichtet - ø 10 mm</v>
      </c>
      <c r="D694" s="16">
        <v>4.2300000000000004</v>
      </c>
    </row>
    <row r="695" spans="1:4" x14ac:dyDescent="0.5">
      <c r="B695" s="14" t="str">
        <f>"44448412"</f>
        <v>44448412</v>
      </c>
      <c r="C695" s="15" t="str">
        <f>"TIN-Beschichtet - ø 12 mm"</f>
        <v>TIN-Beschichtet - ø 12 mm</v>
      </c>
      <c r="D695" s="16">
        <v>4.8099999999999996</v>
      </c>
    </row>
    <row r="696" spans="1:4" x14ac:dyDescent="0.5">
      <c r="B696" s="14" t="str">
        <f>"44448414"</f>
        <v>44448414</v>
      </c>
      <c r="C696" s="15" t="str">
        <f>"TIN-Beschichtet - ø 14 mm"</f>
        <v>TIN-Beschichtet - ø 14 mm</v>
      </c>
      <c r="D696" s="16">
        <v>6.37</v>
      </c>
    </row>
    <row r="697" spans="1:4" x14ac:dyDescent="0.5">
      <c r="B697" s="14" t="str">
        <f>"44448416"</f>
        <v>44448416</v>
      </c>
      <c r="C697" s="15" t="str">
        <f>"TIN-Beschichtet - ø 16 mm"</f>
        <v>TIN-Beschichtet - ø 16 mm</v>
      </c>
      <c r="D697" s="16">
        <v>6.88</v>
      </c>
    </row>
    <row r="698" spans="1:4" x14ac:dyDescent="0.5">
      <c r="B698" s="14" t="str">
        <f>"44448418"</f>
        <v>44448418</v>
      </c>
      <c r="C698" s="15" t="str">
        <f>"TIN-Beschichtet - ø 18 mm"</f>
        <v>TIN-Beschichtet - ø 18 mm</v>
      </c>
      <c r="D698" s="16">
        <v>9.5399999999999991</v>
      </c>
    </row>
    <row r="699" spans="1:4" x14ac:dyDescent="0.5">
      <c r="B699" s="14" t="str">
        <f>"44448420"</f>
        <v>44448420</v>
      </c>
      <c r="C699" s="15" t="str">
        <f>"TIN-Beschichtet - ø 20 mm"</f>
        <v>TIN-Beschichtet - ø 20 mm</v>
      </c>
      <c r="D699" s="16">
        <v>9.7200000000000006</v>
      </c>
    </row>
    <row r="700" spans="1:4" x14ac:dyDescent="0.5">
      <c r="B700" s="14" t="str">
        <f>"44448425"</f>
        <v>44448425</v>
      </c>
      <c r="C700" s="15" t="str">
        <f>"TIN-Beschichtet - ø 25 mm"</f>
        <v>TIN-Beschichtet - ø 25 mm</v>
      </c>
      <c r="D700" s="16">
        <v>11.33</v>
      </c>
    </row>
    <row r="701" spans="1:4" x14ac:dyDescent="0.5">
      <c r="B701" s="14" t="str">
        <f>"44448432"</f>
        <v>44448432</v>
      </c>
      <c r="C701" s="15" t="str">
        <f>"TIN-Beschichtet - ø 32 mm"</f>
        <v>TIN-Beschichtet - ø 32 mm</v>
      </c>
      <c r="D701" s="16">
        <v>18.5</v>
      </c>
    </row>
    <row r="702" spans="1:4" ht="18.899999999999999" thickBot="1" x14ac:dyDescent="0.55000000000000004">
      <c r="A702" s="17"/>
      <c r="B702" s="18" t="str">
        <f>"44448440"</f>
        <v>44448440</v>
      </c>
      <c r="C702" s="19" t="str">
        <f>"TIN-Beschichtet - ø 40 mm"</f>
        <v>TIN-Beschichtet - ø 40 mm</v>
      </c>
      <c r="D702" s="20">
        <v>26.59</v>
      </c>
    </row>
    <row r="703" spans="1:4" x14ac:dyDescent="0.5">
      <c r="A703" s="26" t="s">
        <v>84</v>
      </c>
      <c r="B703" s="21" t="str">
        <f>"444485006"</f>
        <v>444485006</v>
      </c>
      <c r="C703" s="22" t="str">
        <f>"VAROCON-Plus-Beschichtet - ø 6 mm"</f>
        <v>VAROCON-Plus-Beschichtet - ø 6 mm</v>
      </c>
      <c r="D703" s="23">
        <v>4.8099999999999996</v>
      </c>
    </row>
    <row r="704" spans="1:4" x14ac:dyDescent="0.5">
      <c r="B704" s="14" t="str">
        <f>"444485008"</f>
        <v>444485008</v>
      </c>
      <c r="C704" s="15" t="str">
        <f>"VAROCON-Plus-Beschichtet - ø 8 mm"</f>
        <v>VAROCON-Plus-Beschichtet - ø 8 mm</v>
      </c>
      <c r="D704" s="16">
        <v>5.27</v>
      </c>
    </row>
    <row r="705" spans="1:4" x14ac:dyDescent="0.5">
      <c r="B705" s="14" t="str">
        <f>"444485010"</f>
        <v>444485010</v>
      </c>
      <c r="C705" s="15" t="str">
        <f>"VAROCON-Plus-Beschichtet - ø 10 mm"</f>
        <v>VAROCON-Plus-Beschichtet - ø 10 mm</v>
      </c>
      <c r="D705" s="16">
        <v>5.48</v>
      </c>
    </row>
    <row r="706" spans="1:4" x14ac:dyDescent="0.5">
      <c r="B706" s="14" t="str">
        <f>"444485012"</f>
        <v>444485012</v>
      </c>
      <c r="C706" s="15" t="str">
        <f>"VAROCON-Plus-Beschichtet - ø 12 mm"</f>
        <v>VAROCON-Plus-Beschichtet - ø 12 mm</v>
      </c>
      <c r="D706" s="16">
        <v>6.24</v>
      </c>
    </row>
    <row r="707" spans="1:4" x14ac:dyDescent="0.5">
      <c r="B707" s="14" t="str">
        <f>"444485014"</f>
        <v>444485014</v>
      </c>
      <c r="C707" s="15" t="str">
        <f>"VAROCON-Plus-Beschichtet - ø 14 mm"</f>
        <v>VAROCON-Plus-Beschichtet - ø 14 mm</v>
      </c>
      <c r="D707" s="16">
        <v>8.27</v>
      </c>
    </row>
    <row r="708" spans="1:4" x14ac:dyDescent="0.5">
      <c r="B708" s="14" t="str">
        <f>"444485016"</f>
        <v>444485016</v>
      </c>
      <c r="C708" s="15" t="str">
        <f>"VAROCON-Plus-Beschichtet - ø 16 mm"</f>
        <v>VAROCON-Plus-Beschichtet - ø 16 mm</v>
      </c>
      <c r="D708" s="16">
        <v>8.9600000000000009</v>
      </c>
    </row>
    <row r="709" spans="1:4" x14ac:dyDescent="0.5">
      <c r="B709" s="14" t="str">
        <f>"444485018"</f>
        <v>444485018</v>
      </c>
      <c r="C709" s="15" t="str">
        <f>"VAROCON-Plus-Beschichtet - ø 18 mm"</f>
        <v>VAROCON-Plus-Beschichtet - ø 18 mm</v>
      </c>
      <c r="D709" s="16">
        <v>12.43</v>
      </c>
    </row>
    <row r="710" spans="1:4" x14ac:dyDescent="0.5">
      <c r="B710" s="14" t="str">
        <f>"444485020"</f>
        <v>444485020</v>
      </c>
      <c r="C710" s="15" t="str">
        <f>"VAROCON-Plus-Beschichtet - ø 20 mm"</f>
        <v>VAROCON-Plus-Beschichtet - ø 20 mm</v>
      </c>
      <c r="D710" s="16">
        <v>12.67</v>
      </c>
    </row>
    <row r="711" spans="1:4" x14ac:dyDescent="0.5">
      <c r="B711" s="14" t="str">
        <f>"444485025"</f>
        <v>444485025</v>
      </c>
      <c r="C711" s="15" t="str">
        <f>"VAROCON-Plus-Beschichtet - ø 25 mm"</f>
        <v>VAROCON-Plus-Beschichtet - ø 25 mm</v>
      </c>
      <c r="D711" s="16">
        <v>14.75</v>
      </c>
    </row>
    <row r="712" spans="1:4" x14ac:dyDescent="0.5">
      <c r="B712" s="14" t="str">
        <f>"444485032"</f>
        <v>444485032</v>
      </c>
      <c r="C712" s="15" t="str">
        <f>"VAROCON-Plus-Beschichtet - ø 32 mm"</f>
        <v>VAROCON-Plus-Beschichtet - ø 32 mm</v>
      </c>
      <c r="D712" s="16">
        <v>24.05</v>
      </c>
    </row>
    <row r="713" spans="1:4" ht="18.899999999999999" thickBot="1" x14ac:dyDescent="0.55000000000000004">
      <c r="A713" s="17"/>
      <c r="B713" s="18" t="str">
        <f>"444485040"</f>
        <v>444485040</v>
      </c>
      <c r="C713" s="19" t="str">
        <f>"VAROCON-Plus-Beschichtet - ø 40 mm"</f>
        <v>VAROCON-Plus-Beschichtet - ø 40 mm</v>
      </c>
      <c r="D713" s="20">
        <v>34.590000000000003</v>
      </c>
    </row>
    <row r="714" spans="1:4" x14ac:dyDescent="0.5">
      <c r="A714" s="12" t="s">
        <v>81</v>
      </c>
      <c r="B714" s="21" t="str">
        <f>"44448506"</f>
        <v>44448506</v>
      </c>
      <c r="C714" s="22" t="str">
        <f>"VAROCON-Beschichtet - ø 6 mm"</f>
        <v>VAROCON-Beschichtet - ø 6 mm</v>
      </c>
      <c r="D714" s="23">
        <v>4.8099999999999996</v>
      </c>
    </row>
    <row r="715" spans="1:4" x14ac:dyDescent="0.5">
      <c r="B715" s="14" t="str">
        <f>"44448508"</f>
        <v>44448508</v>
      </c>
      <c r="C715" s="15" t="str">
        <f>"VAROCON-Beschichtet - ø 8 mm"</f>
        <v>VAROCON-Beschichtet - ø 8 mm</v>
      </c>
      <c r="D715" s="16">
        <v>5.27</v>
      </c>
    </row>
    <row r="716" spans="1:4" x14ac:dyDescent="0.5">
      <c r="B716" s="14" t="str">
        <f>"44448510"</f>
        <v>44448510</v>
      </c>
      <c r="C716" s="15" t="str">
        <f>"VAROCON-Beschichtet - ø 10 mm"</f>
        <v>VAROCON-Beschichtet - ø 10 mm</v>
      </c>
      <c r="D716" s="16">
        <v>5.48</v>
      </c>
    </row>
    <row r="717" spans="1:4" x14ac:dyDescent="0.5">
      <c r="B717" s="14" t="str">
        <f>"44448512"</f>
        <v>44448512</v>
      </c>
      <c r="C717" s="15" t="str">
        <f>"VAROCON-Beschichtet - ø 12 mm"</f>
        <v>VAROCON-Beschichtet - ø 12 mm</v>
      </c>
      <c r="D717" s="16">
        <v>6.24</v>
      </c>
    </row>
    <row r="718" spans="1:4" x14ac:dyDescent="0.5">
      <c r="B718" s="14" t="str">
        <f>"44448514"</f>
        <v>44448514</v>
      </c>
      <c r="C718" s="15" t="str">
        <f>"VAROCON-Beschichtet - ø 14 mm"</f>
        <v>VAROCON-Beschichtet - ø 14 mm</v>
      </c>
      <c r="D718" s="16">
        <v>8.27</v>
      </c>
    </row>
    <row r="719" spans="1:4" x14ac:dyDescent="0.5">
      <c r="B719" s="14" t="str">
        <f>"44448516"</f>
        <v>44448516</v>
      </c>
      <c r="C719" s="15" t="str">
        <f>"VAROCON-Beschichtet - ø 16 mm"</f>
        <v>VAROCON-Beschichtet - ø 16 mm</v>
      </c>
      <c r="D719" s="16">
        <v>8.9600000000000009</v>
      </c>
    </row>
    <row r="720" spans="1:4" x14ac:dyDescent="0.5">
      <c r="B720" s="14" t="str">
        <f>"44448518"</f>
        <v>44448518</v>
      </c>
      <c r="C720" s="15" t="str">
        <f>"VAROCON-Beschichtet - ø 18 mm"</f>
        <v>VAROCON-Beschichtet - ø 18 mm</v>
      </c>
      <c r="D720" s="16">
        <v>12.43</v>
      </c>
    </row>
    <row r="721" spans="1:4" x14ac:dyDescent="0.5">
      <c r="B721" s="14" t="str">
        <f>"44448520"</f>
        <v>44448520</v>
      </c>
      <c r="C721" s="15" t="str">
        <f>"VAROCON-Beschichtet - ø 20 mm"</f>
        <v>VAROCON-Beschichtet - ø 20 mm</v>
      </c>
      <c r="D721" s="16">
        <v>12.67</v>
      </c>
    </row>
    <row r="722" spans="1:4" x14ac:dyDescent="0.5">
      <c r="B722" s="14" t="str">
        <f>"44448525"</f>
        <v>44448525</v>
      </c>
      <c r="C722" s="15" t="str">
        <f>"VAROCON-Beschichtet - ø 25 mm"</f>
        <v>VAROCON-Beschichtet - ø 25 mm</v>
      </c>
      <c r="D722" s="16">
        <v>14.75</v>
      </c>
    </row>
    <row r="723" spans="1:4" x14ac:dyDescent="0.5">
      <c r="B723" s="14" t="str">
        <f>"44448532"</f>
        <v>44448532</v>
      </c>
      <c r="C723" s="15" t="str">
        <f>"VAROCON-Beschichtet - ø 32 mm"</f>
        <v>VAROCON-Beschichtet - ø 32 mm</v>
      </c>
      <c r="D723" s="16">
        <v>24.05</v>
      </c>
    </row>
    <row r="724" spans="1:4" ht="18.899999999999999" thickBot="1" x14ac:dyDescent="0.55000000000000004">
      <c r="A724" s="17"/>
      <c r="B724" s="18" t="str">
        <f>"44448540"</f>
        <v>44448540</v>
      </c>
      <c r="C724" s="19" t="str">
        <f>"VAROCON-Beschichtet - ø 40 mm"</f>
        <v>VAROCON-Beschichtet - ø 40 mm</v>
      </c>
      <c r="D724" s="20">
        <v>34.590000000000003</v>
      </c>
    </row>
    <row r="725" spans="1:4" x14ac:dyDescent="0.5">
      <c r="A725" s="12" t="s">
        <v>85</v>
      </c>
      <c r="B725" s="21" t="str">
        <f>"44448606"</f>
        <v>44448606</v>
      </c>
      <c r="C725" s="22" t="str">
        <f>"nacro-grey-Beschichtet - ø 6 mm"</f>
        <v>nacro-grey-Beschichtet - ø 6 mm</v>
      </c>
      <c r="D725" s="23">
        <v>4.8099999999999996</v>
      </c>
    </row>
    <row r="726" spans="1:4" x14ac:dyDescent="0.5">
      <c r="B726" s="14" t="str">
        <f>"44448608"</f>
        <v>44448608</v>
      </c>
      <c r="C726" s="15" t="str">
        <f>"nacro-grey-Beschichtet - ø 8 mm"</f>
        <v>nacro-grey-Beschichtet - ø 8 mm</v>
      </c>
      <c r="D726" s="16">
        <v>5.27</v>
      </c>
    </row>
    <row r="727" spans="1:4" x14ac:dyDescent="0.5">
      <c r="B727" s="14" t="str">
        <f>"44448610"</f>
        <v>44448610</v>
      </c>
      <c r="C727" s="15" t="str">
        <f>"nacro-grey-Beschichtet - ø 10 mm"</f>
        <v>nacro-grey-Beschichtet - ø 10 mm</v>
      </c>
      <c r="D727" s="16">
        <v>5.48</v>
      </c>
    </row>
    <row r="728" spans="1:4" x14ac:dyDescent="0.5">
      <c r="B728" s="14" t="str">
        <f>"44448612"</f>
        <v>44448612</v>
      </c>
      <c r="C728" s="15" t="str">
        <f>"nacro-grey-Beschichtet - ø 12 mm"</f>
        <v>nacro-grey-Beschichtet - ø 12 mm</v>
      </c>
      <c r="D728" s="16">
        <v>6.24</v>
      </c>
    </row>
    <row r="729" spans="1:4" x14ac:dyDescent="0.5">
      <c r="B729" s="14" t="str">
        <f>"44448614"</f>
        <v>44448614</v>
      </c>
      <c r="C729" s="15" t="str">
        <f>"nacro-grey-Beschichtet - ø 14 mm"</f>
        <v>nacro-grey-Beschichtet - ø 14 mm</v>
      </c>
      <c r="D729" s="16">
        <v>8.27</v>
      </c>
    </row>
    <row r="730" spans="1:4" x14ac:dyDescent="0.5">
      <c r="B730" s="14" t="str">
        <f>"44448616"</f>
        <v>44448616</v>
      </c>
      <c r="C730" s="15" t="str">
        <f>"nacro-grey-Beschichtet - ø 16 mm"</f>
        <v>nacro-grey-Beschichtet - ø 16 mm</v>
      </c>
      <c r="D730" s="16">
        <v>8.9600000000000009</v>
      </c>
    </row>
    <row r="731" spans="1:4" x14ac:dyDescent="0.5">
      <c r="B731" s="14" t="str">
        <f>"44448618"</f>
        <v>44448618</v>
      </c>
      <c r="C731" s="15" t="str">
        <f>"nacro-grey-Beschichtet - ø 18 mm"</f>
        <v>nacro-grey-Beschichtet - ø 18 mm</v>
      </c>
      <c r="D731" s="16">
        <v>12.43</v>
      </c>
    </row>
    <row r="732" spans="1:4" x14ac:dyDescent="0.5">
      <c r="B732" s="14" t="str">
        <f>"44448620"</f>
        <v>44448620</v>
      </c>
      <c r="C732" s="15" t="str">
        <f>"nacro-grey-Beschichtet - ø 20 mm"</f>
        <v>nacro-grey-Beschichtet - ø 20 mm</v>
      </c>
      <c r="D732" s="16">
        <v>12.67</v>
      </c>
    </row>
    <row r="733" spans="1:4" x14ac:dyDescent="0.5">
      <c r="B733" s="14" t="str">
        <f>"44448625"</f>
        <v>44448625</v>
      </c>
      <c r="C733" s="15" t="str">
        <f>"nacro-grey-Beschichtet - ø 25 mm"</f>
        <v>nacro-grey-Beschichtet - ø 25 mm</v>
      </c>
      <c r="D733" s="16">
        <v>14.75</v>
      </c>
    </row>
    <row r="734" spans="1:4" x14ac:dyDescent="0.5">
      <c r="B734" s="14" t="str">
        <f>"44448632"</f>
        <v>44448632</v>
      </c>
      <c r="C734" s="15" t="str">
        <f>"nacro-grey-Beschichtet - ø 32 mm"</f>
        <v>nacro-grey-Beschichtet - ø 32 mm</v>
      </c>
      <c r="D734" s="16">
        <v>24.05</v>
      </c>
    </row>
    <row r="735" spans="1:4" ht="18.899999999999999" thickBot="1" x14ac:dyDescent="0.55000000000000004">
      <c r="A735" s="17"/>
      <c r="B735" s="18" t="str">
        <f>"44448640"</f>
        <v>44448640</v>
      </c>
      <c r="C735" s="19" t="str">
        <f>"nacro-grey-Beschichtet - ø 40 mm"</f>
        <v>nacro-grey-Beschichtet - ø 40 mm</v>
      </c>
      <c r="D735" s="20">
        <v>34.590000000000003</v>
      </c>
    </row>
    <row r="736" spans="1:4" x14ac:dyDescent="0.5">
      <c r="A736" s="12" t="s">
        <v>86</v>
      </c>
      <c r="B736" s="21" t="str">
        <f>"44448706"</f>
        <v>44448706</v>
      </c>
      <c r="C736" s="22" t="str">
        <f>"ZrN-Beschichtet - ø 6 mm"</f>
        <v>ZrN-Beschichtet - ø 6 mm</v>
      </c>
      <c r="D736" s="23">
        <v>4.8099999999999996</v>
      </c>
    </row>
    <row r="737" spans="1:4" x14ac:dyDescent="0.5">
      <c r="B737" s="14" t="str">
        <f>"44448708"</f>
        <v>44448708</v>
      </c>
      <c r="C737" s="15" t="str">
        <f>"ZrN-Beschichtet - ø 8 mm"</f>
        <v>ZrN-Beschichtet - ø 8 mm</v>
      </c>
      <c r="D737" s="16">
        <v>5.27</v>
      </c>
    </row>
    <row r="738" spans="1:4" x14ac:dyDescent="0.5">
      <c r="B738" s="14" t="str">
        <f>"44448710"</f>
        <v>44448710</v>
      </c>
      <c r="C738" s="15" t="str">
        <f>"ZrN-Beschichtet - ø 10 mm"</f>
        <v>ZrN-Beschichtet - ø 10 mm</v>
      </c>
      <c r="D738" s="16">
        <v>5.48</v>
      </c>
    </row>
    <row r="739" spans="1:4" x14ac:dyDescent="0.5">
      <c r="B739" s="14" t="str">
        <f>"44448712"</f>
        <v>44448712</v>
      </c>
      <c r="C739" s="15" t="str">
        <f>"ZrN-Beschichtet - ø 12 mm"</f>
        <v>ZrN-Beschichtet - ø 12 mm</v>
      </c>
      <c r="D739" s="16">
        <v>6.24</v>
      </c>
    </row>
    <row r="740" spans="1:4" x14ac:dyDescent="0.5">
      <c r="B740" s="14" t="str">
        <f>"44448714"</f>
        <v>44448714</v>
      </c>
      <c r="C740" s="15" t="str">
        <f>"ZrN-Beschichtet - ø 14 mm"</f>
        <v>ZrN-Beschichtet - ø 14 mm</v>
      </c>
      <c r="D740" s="16">
        <v>8.27</v>
      </c>
    </row>
    <row r="741" spans="1:4" x14ac:dyDescent="0.5">
      <c r="B741" s="14" t="str">
        <f>"44448716"</f>
        <v>44448716</v>
      </c>
      <c r="C741" s="15" t="str">
        <f>"ZrN-Beschichtet - ø 16 mm"</f>
        <v>ZrN-Beschichtet - ø 16 mm</v>
      </c>
      <c r="D741" s="16">
        <v>8.9600000000000009</v>
      </c>
    </row>
    <row r="742" spans="1:4" x14ac:dyDescent="0.5">
      <c r="B742" s="14" t="str">
        <f>"44448718"</f>
        <v>44448718</v>
      </c>
      <c r="C742" s="15" t="str">
        <f>"ZrN-Beschichtet - ø 18 mm"</f>
        <v>ZrN-Beschichtet - ø 18 mm</v>
      </c>
      <c r="D742" s="16">
        <v>12.43</v>
      </c>
    </row>
    <row r="743" spans="1:4" x14ac:dyDescent="0.5">
      <c r="B743" s="14" t="str">
        <f>"44448720"</f>
        <v>44448720</v>
      </c>
      <c r="C743" s="15" t="str">
        <f>"ZrN-Beschichtet - ø 20 mm"</f>
        <v>ZrN-Beschichtet - ø 20 mm</v>
      </c>
      <c r="D743" s="16">
        <v>12.67</v>
      </c>
    </row>
    <row r="744" spans="1:4" x14ac:dyDescent="0.5">
      <c r="B744" s="14" t="str">
        <f>"44448725"</f>
        <v>44448725</v>
      </c>
      <c r="C744" s="15" t="str">
        <f>"ZrN-Beschichtet - ø 25 mm"</f>
        <v>ZrN-Beschichtet - ø 25 mm</v>
      </c>
      <c r="D744" s="16">
        <v>14.75</v>
      </c>
    </row>
    <row r="745" spans="1:4" x14ac:dyDescent="0.5">
      <c r="B745" s="14" t="str">
        <f>"44448732"</f>
        <v>44448732</v>
      </c>
      <c r="C745" s="15" t="str">
        <f>"ZrN-Beschichtet - ø 32 mm"</f>
        <v>ZrN-Beschichtet - ø 32 mm</v>
      </c>
      <c r="D745" s="16">
        <v>24.05</v>
      </c>
    </row>
    <row r="746" spans="1:4" ht="18.899999999999999" thickBot="1" x14ac:dyDescent="0.55000000000000004">
      <c r="A746" s="17"/>
      <c r="B746" s="18" t="str">
        <f>"44448740"</f>
        <v>44448740</v>
      </c>
      <c r="C746" s="19" t="str">
        <f>"ZrN-Beschichtet - ø 40 mm"</f>
        <v>ZrN-Beschichtet - ø 40 mm</v>
      </c>
      <c r="D746" s="20">
        <v>34.590000000000003</v>
      </c>
    </row>
    <row r="747" spans="1:4" x14ac:dyDescent="0.5">
      <c r="A747" s="12" t="s">
        <v>87</v>
      </c>
      <c r="B747" s="21" t="str">
        <f>"44448806"</f>
        <v>44448806</v>
      </c>
      <c r="C747" s="22" t="str">
        <f>"Polieren - ø 6 mm"</f>
        <v>Polieren - ø 6 mm</v>
      </c>
      <c r="D747" s="23">
        <v>4.04</v>
      </c>
    </row>
    <row r="748" spans="1:4" x14ac:dyDescent="0.5">
      <c r="B748" s="14" t="str">
        <f>"44448808"</f>
        <v>44448808</v>
      </c>
      <c r="C748" s="15" t="str">
        <f>"Polieren - ø 8 mm"</f>
        <v>Polieren - ø 8 mm</v>
      </c>
      <c r="D748" s="16">
        <v>5.48</v>
      </c>
    </row>
    <row r="749" spans="1:4" x14ac:dyDescent="0.5">
      <c r="B749" s="14" t="str">
        <f>"44448810"</f>
        <v>44448810</v>
      </c>
      <c r="C749" s="15" t="str">
        <f>"Polieren- ø 10 mm"</f>
        <v>Polieren- ø 10 mm</v>
      </c>
      <c r="D749" s="16">
        <v>6.88</v>
      </c>
    </row>
    <row r="750" spans="1:4" x14ac:dyDescent="0.5">
      <c r="B750" s="14" t="str">
        <f>"44448812"</f>
        <v>44448812</v>
      </c>
      <c r="C750" s="15" t="str">
        <f>"Polieren - ø 12 mm"</f>
        <v>Polieren - ø 12 mm</v>
      </c>
      <c r="D750" s="16">
        <v>7.99</v>
      </c>
    </row>
    <row r="751" spans="1:4" x14ac:dyDescent="0.5">
      <c r="B751" s="14" t="str">
        <f>"44448814"</f>
        <v>44448814</v>
      </c>
      <c r="C751" s="15" t="str">
        <f>"Polieren - ø 14 mm"</f>
        <v>Polieren - ø 14 mm</v>
      </c>
      <c r="D751" s="16">
        <v>9.1300000000000008</v>
      </c>
    </row>
    <row r="752" spans="1:4" x14ac:dyDescent="0.5">
      <c r="B752" s="14" t="str">
        <f>"44448816"</f>
        <v>44448816</v>
      </c>
      <c r="C752" s="15" t="str">
        <f>"Polieren - ø 16 mm"</f>
        <v>Polieren - ø 16 mm</v>
      </c>
      <c r="D752" s="16">
        <v>10.29</v>
      </c>
    </row>
    <row r="753" spans="1:4" x14ac:dyDescent="0.5">
      <c r="B753" s="14" t="str">
        <f>"44448818"</f>
        <v>44448818</v>
      </c>
      <c r="C753" s="15" t="str">
        <f>"Polieren - ø 18 mm"</f>
        <v>Polieren - ø 18 mm</v>
      </c>
      <c r="D753" s="16">
        <v>10.99</v>
      </c>
    </row>
    <row r="754" spans="1:4" x14ac:dyDescent="0.5">
      <c r="B754" s="14" t="str">
        <f>"44448820"</f>
        <v>44448820</v>
      </c>
      <c r="C754" s="15" t="str">
        <f>"Polieren - ø 20 mm"</f>
        <v>Polieren - ø 20 mm</v>
      </c>
      <c r="D754" s="16">
        <v>11.46</v>
      </c>
    </row>
    <row r="755" spans="1:4" x14ac:dyDescent="0.5">
      <c r="B755" s="14" t="str">
        <f>"44448825"</f>
        <v>44448825</v>
      </c>
      <c r="C755" s="15" t="str">
        <f>"Polieren- ø 25 mm"</f>
        <v>Polieren- ø 25 mm</v>
      </c>
      <c r="D755" s="16">
        <v>17.18</v>
      </c>
    </row>
    <row r="756" spans="1:4" x14ac:dyDescent="0.5">
      <c r="B756" s="14" t="str">
        <f>"44448832"</f>
        <v>44448832</v>
      </c>
      <c r="C756" s="15" t="str">
        <f>"Polieren- ø 32 mm"</f>
        <v>Polieren- ø 32 mm</v>
      </c>
      <c r="D756" s="16">
        <v>19.670000000000002</v>
      </c>
    </row>
    <row r="757" spans="1:4" ht="18.899999999999999" thickBot="1" x14ac:dyDescent="0.55000000000000004">
      <c r="A757" s="17"/>
      <c r="B757" s="18" t="str">
        <f>"44448840"</f>
        <v>44448840</v>
      </c>
      <c r="C757" s="19" t="str">
        <f>"Polieren- ø 40 mm"</f>
        <v>Polieren- ø 40 mm</v>
      </c>
      <c r="D757" s="20">
        <v>28.92</v>
      </c>
    </row>
    <row r="758" spans="1:4" x14ac:dyDescent="0.5">
      <c r="A758" s="12" t="s">
        <v>88</v>
      </c>
      <c r="B758" s="21" t="str">
        <f>"44448906"</f>
        <v>44448906</v>
      </c>
      <c r="C758" s="22" t="str">
        <f>"Weldon ø 6 mm angeschliffen"</f>
        <v>Weldon ø 6 mm angeschliffen</v>
      </c>
      <c r="D758" s="23">
        <v>1.39</v>
      </c>
    </row>
    <row r="759" spans="1:4" x14ac:dyDescent="0.5">
      <c r="B759" s="14" t="str">
        <f>"44448908"</f>
        <v>44448908</v>
      </c>
      <c r="C759" s="15" t="str">
        <f>"Weldon ø 8 mm angeschliffen"</f>
        <v>Weldon ø 8 mm angeschliffen</v>
      </c>
      <c r="D759" s="16">
        <v>1.39</v>
      </c>
    </row>
    <row r="760" spans="1:4" x14ac:dyDescent="0.5">
      <c r="B760" s="14" t="str">
        <f>"44448910"</f>
        <v>44448910</v>
      </c>
      <c r="C760" s="15" t="str">
        <f>"Weldon ø 10 mm angeschliffen"</f>
        <v>Weldon ø 10 mm angeschliffen</v>
      </c>
      <c r="D760" s="16">
        <v>2.08</v>
      </c>
    </row>
    <row r="761" spans="1:4" x14ac:dyDescent="0.5">
      <c r="B761" s="14" t="str">
        <f>"44448912"</f>
        <v>44448912</v>
      </c>
      <c r="C761" s="15" t="str">
        <f>"Weldon ø 12 mm angeschliffen"</f>
        <v>Weldon ø 12 mm angeschliffen</v>
      </c>
      <c r="D761" s="16">
        <v>2.08</v>
      </c>
    </row>
    <row r="762" spans="1:4" x14ac:dyDescent="0.5">
      <c r="B762" s="14" t="str">
        <f>"44448914"</f>
        <v>44448914</v>
      </c>
      <c r="C762" s="15" t="str">
        <f>"Weldon ø 14 mm angeschliffen"</f>
        <v>Weldon ø 14 mm angeschliffen</v>
      </c>
      <c r="D762" s="16">
        <v>2.08</v>
      </c>
    </row>
    <row r="763" spans="1:4" x14ac:dyDescent="0.5">
      <c r="B763" s="14" t="str">
        <f>"44448916"</f>
        <v>44448916</v>
      </c>
      <c r="C763" s="15" t="str">
        <f>"Weldon ø 16 mm angeschliffen"</f>
        <v>Weldon ø 16 mm angeschliffen</v>
      </c>
      <c r="D763" s="16">
        <v>2.9</v>
      </c>
    </row>
    <row r="764" spans="1:4" x14ac:dyDescent="0.5">
      <c r="B764" s="14" t="str">
        <f>"44448918"</f>
        <v>44448918</v>
      </c>
      <c r="C764" s="15" t="str">
        <f>"Weldon ø 18 mm angeschliffen"</f>
        <v>Weldon ø 18 mm angeschliffen</v>
      </c>
      <c r="D764" s="16">
        <v>2.9</v>
      </c>
    </row>
    <row r="765" spans="1:4" x14ac:dyDescent="0.5">
      <c r="B765" s="14" t="str">
        <f>"44448920"</f>
        <v>44448920</v>
      </c>
      <c r="C765" s="15" t="str">
        <f>"Weldon ø 20 mm angeschliffen"</f>
        <v>Weldon ø 20 mm angeschliffen</v>
      </c>
      <c r="D765" s="16">
        <v>3.47</v>
      </c>
    </row>
    <row r="766" spans="1:4" x14ac:dyDescent="0.5">
      <c r="B766" s="14" t="str">
        <f>"44448925"</f>
        <v>44448925</v>
      </c>
      <c r="C766" s="15" t="str">
        <f>"Weldon ø 25 mm angeschliffen"</f>
        <v>Weldon ø 25 mm angeschliffen</v>
      </c>
      <c r="D766" s="16">
        <v>8.09</v>
      </c>
    </row>
    <row r="767" spans="1:4" x14ac:dyDescent="0.5">
      <c r="B767" s="14" t="str">
        <f>"44448932"</f>
        <v>44448932</v>
      </c>
      <c r="C767" s="15" t="str">
        <f>"Weldon ø 32 mm angeschliffen"</f>
        <v>Weldon ø 32 mm angeschliffen</v>
      </c>
      <c r="D767" s="16">
        <v>11.57</v>
      </c>
    </row>
    <row r="768" spans="1:4" ht="18.899999999999999" thickBot="1" x14ac:dyDescent="0.55000000000000004">
      <c r="A768" s="17"/>
      <c r="B768" s="18" t="str">
        <f>"44448940"</f>
        <v>44448940</v>
      </c>
      <c r="C768" s="19" t="str">
        <f>"Weldon ø 40 mm angeschliffen"</f>
        <v>Weldon ø 40 mm angeschliffen</v>
      </c>
      <c r="D768" s="20">
        <v>23.13</v>
      </c>
    </row>
    <row r="769" spans="1:4" x14ac:dyDescent="0.5">
      <c r="A769" s="12" t="s">
        <v>89</v>
      </c>
      <c r="B769" s="21" t="str">
        <f>"44449006"</f>
        <v>44449006</v>
      </c>
      <c r="C769" s="22" t="str">
        <f>"HP3-Beschichtet - ø 6 mm"</f>
        <v>HP3-Beschichtet - ø 6 mm</v>
      </c>
      <c r="D769" s="23">
        <v>4.8099999999999996</v>
      </c>
    </row>
    <row r="770" spans="1:4" x14ac:dyDescent="0.5">
      <c r="B770" s="14" t="str">
        <f>"44449008"</f>
        <v>44449008</v>
      </c>
      <c r="C770" s="15" t="str">
        <f>"HP3-Beschichtet - ø 8 mm"</f>
        <v>HP3-Beschichtet - ø 8 mm</v>
      </c>
      <c r="D770" s="16">
        <v>5.27</v>
      </c>
    </row>
    <row r="771" spans="1:4" x14ac:dyDescent="0.5">
      <c r="B771" s="14" t="str">
        <f>"44449010"</f>
        <v>44449010</v>
      </c>
      <c r="C771" s="15" t="str">
        <f>"HP3-Beschichtet - ø 10 mm"</f>
        <v>HP3-Beschichtet - ø 10 mm</v>
      </c>
      <c r="D771" s="16">
        <v>5.48</v>
      </c>
    </row>
    <row r="772" spans="1:4" x14ac:dyDescent="0.5">
      <c r="B772" s="14" t="str">
        <f>"44449012"</f>
        <v>44449012</v>
      </c>
      <c r="C772" s="15" t="str">
        <f>"HP3-Beschichtet - ø 12 mm"</f>
        <v>HP3-Beschichtet - ø 12 mm</v>
      </c>
      <c r="D772" s="16">
        <v>6.24</v>
      </c>
    </row>
    <row r="773" spans="1:4" x14ac:dyDescent="0.5">
      <c r="B773" s="14" t="str">
        <f>"44449014"</f>
        <v>44449014</v>
      </c>
      <c r="C773" s="15" t="str">
        <f>"HP3-Beschichtet - ø 14 mm"</f>
        <v>HP3-Beschichtet - ø 14 mm</v>
      </c>
      <c r="D773" s="16">
        <v>8.27</v>
      </c>
    </row>
    <row r="774" spans="1:4" x14ac:dyDescent="0.5">
      <c r="B774" s="14" t="str">
        <f>"44449016"</f>
        <v>44449016</v>
      </c>
      <c r="C774" s="15" t="str">
        <f>"HP3-Beschichtet - ø 16 mm"</f>
        <v>HP3-Beschichtet - ø 16 mm</v>
      </c>
      <c r="D774" s="16">
        <v>8.9600000000000009</v>
      </c>
    </row>
    <row r="775" spans="1:4" x14ac:dyDescent="0.5">
      <c r="B775" s="14" t="str">
        <f>"44449018"</f>
        <v>44449018</v>
      </c>
      <c r="C775" s="15" t="str">
        <f>"HP3-Beschichtet - ø 18 mm"</f>
        <v>HP3-Beschichtet - ø 18 mm</v>
      </c>
      <c r="D775" s="16">
        <v>12.43</v>
      </c>
    </row>
    <row r="776" spans="1:4" x14ac:dyDescent="0.5">
      <c r="B776" s="14" t="str">
        <f>"44449020"</f>
        <v>44449020</v>
      </c>
      <c r="C776" s="15" t="str">
        <f>"HP3-Beschichtet - ø 20 mm"</f>
        <v>HP3-Beschichtet - ø 20 mm</v>
      </c>
      <c r="D776" s="16">
        <v>12.67</v>
      </c>
    </row>
    <row r="777" spans="1:4" x14ac:dyDescent="0.5">
      <c r="B777" s="14" t="str">
        <f>"44449025"</f>
        <v>44449025</v>
      </c>
      <c r="C777" s="15" t="str">
        <f>"HP3-Beschichtet - ø 25 mm"</f>
        <v>HP3-Beschichtet - ø 25 mm</v>
      </c>
      <c r="D777" s="16">
        <v>14.75</v>
      </c>
    </row>
    <row r="778" spans="1:4" x14ac:dyDescent="0.5">
      <c r="B778" s="14" t="str">
        <f>"44449032"</f>
        <v>44449032</v>
      </c>
      <c r="C778" s="15" t="str">
        <f>"HP3-Beschichtet - ø 32 mm"</f>
        <v>HP3-Beschichtet - ø 32 mm</v>
      </c>
      <c r="D778" s="16">
        <v>24.05</v>
      </c>
    </row>
    <row r="779" spans="1:4" ht="18.899999999999999" thickBot="1" x14ac:dyDescent="0.55000000000000004">
      <c r="A779" s="17"/>
      <c r="B779" s="18" t="str">
        <f>"44449040"</f>
        <v>44449040</v>
      </c>
      <c r="C779" s="19" t="str">
        <f>"HP3-Beschichtet - ø 40 mm"</f>
        <v>HP3-Beschichtet - ø 40 mm</v>
      </c>
      <c r="D779" s="20">
        <v>34.590000000000003</v>
      </c>
    </row>
    <row r="780" spans="1:4" x14ac:dyDescent="0.5">
      <c r="A780" s="12" t="s">
        <v>90</v>
      </c>
      <c r="B780" s="21" t="str">
        <f>"44449106"</f>
        <v>44449106</v>
      </c>
      <c r="C780" s="22" t="str">
        <f>"VHM-Werkzeuge - ø 6 mm"</f>
        <v>VHM-Werkzeuge - ø 6 mm</v>
      </c>
      <c r="D780" s="23">
        <v>2.4300000000000002</v>
      </c>
    </row>
    <row r="781" spans="1:4" x14ac:dyDescent="0.5">
      <c r="B781" s="14" t="str">
        <f>"44449108"</f>
        <v>44449108</v>
      </c>
      <c r="C781" s="15" t="str">
        <f>"VHM-Werkzeuge - ø 8 mm"</f>
        <v>VHM-Werkzeuge - ø 8 mm</v>
      </c>
      <c r="D781" s="16">
        <v>2.4300000000000002</v>
      </c>
    </row>
    <row r="782" spans="1:4" x14ac:dyDescent="0.5">
      <c r="B782" s="14" t="str">
        <f>"44449110"</f>
        <v>44449110</v>
      </c>
      <c r="C782" s="15" t="str">
        <f>"VHM-Werkzeuge - ø 10 mm"</f>
        <v>VHM-Werkzeuge - ø 10 mm</v>
      </c>
      <c r="D782" s="16">
        <v>3.65</v>
      </c>
    </row>
    <row r="783" spans="1:4" x14ac:dyDescent="0.5">
      <c r="B783" s="14" t="str">
        <f>"44449112"</f>
        <v>44449112</v>
      </c>
      <c r="C783" s="15" t="str">
        <f>"VHM-Werkzeuge - ø 12 mm"</f>
        <v>VHM-Werkzeuge - ø 12 mm</v>
      </c>
      <c r="D783" s="16">
        <v>4.2699999999999996</v>
      </c>
    </row>
    <row r="784" spans="1:4" x14ac:dyDescent="0.5">
      <c r="B784" s="14" t="str">
        <f>"44449114"</f>
        <v>44449114</v>
      </c>
      <c r="C784" s="15" t="str">
        <f>"VHM-Werkzeuge - ø 14 mm"</f>
        <v>VHM-Werkzeuge - ø 14 mm</v>
      </c>
      <c r="D784" s="16">
        <v>4.75</v>
      </c>
    </row>
    <row r="785" spans="1:4" x14ac:dyDescent="0.5">
      <c r="B785" s="14" t="str">
        <f>"44449116"</f>
        <v>44449116</v>
      </c>
      <c r="C785" s="15" t="str">
        <f>"VHM-Werkzeuge - ø 16 mm"</f>
        <v>VHM-Werkzeuge - ø 16 mm</v>
      </c>
      <c r="D785" s="16">
        <v>4.8600000000000003</v>
      </c>
    </row>
    <row r="786" spans="1:4" x14ac:dyDescent="0.5">
      <c r="B786" s="14" t="str">
        <f>"44449118"</f>
        <v>44449118</v>
      </c>
      <c r="C786" s="15" t="str">
        <f>"VHM-Werkzeuge - ø 18 mm"</f>
        <v>VHM-Werkzeuge - ø 18 mm</v>
      </c>
      <c r="D786" s="16">
        <v>4.8600000000000003</v>
      </c>
    </row>
    <row r="787" spans="1:4" x14ac:dyDescent="0.5">
      <c r="B787" s="14" t="str">
        <f>"44449120"</f>
        <v>44449120</v>
      </c>
      <c r="C787" s="15" t="str">
        <f>"VHM-Werkzeuge - ø 20 mm"</f>
        <v>VHM-Werkzeuge - ø 20 mm</v>
      </c>
      <c r="D787" s="16">
        <v>6.07</v>
      </c>
    </row>
    <row r="788" spans="1:4" ht="18.899999999999999" thickBot="1" x14ac:dyDescent="0.55000000000000004">
      <c r="A788" s="17"/>
      <c r="B788" s="18" t="str">
        <f>"44449125"</f>
        <v>44449125</v>
      </c>
      <c r="C788" s="19" t="str">
        <f>"VHM-Werkzeuge - ø 25 mm"</f>
        <v>VHM-Werkzeuge - ø 25 mm</v>
      </c>
      <c r="D788" s="20">
        <v>8.98</v>
      </c>
    </row>
    <row r="789" spans="1:4" x14ac:dyDescent="0.5">
      <c r="A789" s="12" t="s">
        <v>91</v>
      </c>
      <c r="B789" s="21" t="str">
        <f>"44449306"</f>
        <v>44449306</v>
      </c>
      <c r="C789" s="22" t="str">
        <f>"HE-Schaft angeschliffen ø 6 mm"</f>
        <v>HE-Schaft angeschliffen ø 6 mm</v>
      </c>
      <c r="D789" s="23">
        <v>2.08</v>
      </c>
    </row>
    <row r="790" spans="1:4" x14ac:dyDescent="0.5">
      <c r="B790" s="14" t="str">
        <f>"44449308"</f>
        <v>44449308</v>
      </c>
      <c r="C790" s="15" t="str">
        <f>"HE-Schaft angeschliffen ø 8 mm"</f>
        <v>HE-Schaft angeschliffen ø 8 mm</v>
      </c>
      <c r="D790" s="16">
        <v>2.08</v>
      </c>
    </row>
    <row r="791" spans="1:4" x14ac:dyDescent="0.5">
      <c r="B791" s="14" t="str">
        <f>"44449310"</f>
        <v>44449310</v>
      </c>
      <c r="C791" s="15" t="str">
        <f>"HE-Schaft angeschliffen ø 10 mm"</f>
        <v>HE-Schaft angeschliffen ø 10 mm</v>
      </c>
      <c r="D791" s="16">
        <v>2.78</v>
      </c>
    </row>
    <row r="792" spans="1:4" x14ac:dyDescent="0.5">
      <c r="B792" s="14" t="str">
        <f>"44449312"</f>
        <v>44449312</v>
      </c>
      <c r="C792" s="15" t="str">
        <f>"HE-Schaft angeschliffen ø 12 mm"</f>
        <v>HE-Schaft angeschliffen ø 12 mm</v>
      </c>
      <c r="D792" s="16">
        <v>2.78</v>
      </c>
    </row>
    <row r="793" spans="1:4" x14ac:dyDescent="0.5">
      <c r="B793" s="14" t="str">
        <f>"44449314"</f>
        <v>44449314</v>
      </c>
      <c r="C793" s="15" t="str">
        <f>"HE-Schaft angeschliffen ø 14 mm"</f>
        <v>HE-Schaft angeschliffen ø 14 mm</v>
      </c>
      <c r="D793" s="16">
        <v>2.78</v>
      </c>
    </row>
    <row r="794" spans="1:4" x14ac:dyDescent="0.5">
      <c r="B794" s="14" t="str">
        <f>"44449316"</f>
        <v>44449316</v>
      </c>
      <c r="C794" s="15" t="str">
        <f>"HE-Schaft angeschliffen ø 16 mm"</f>
        <v>HE-Schaft angeschliffen ø 16 mm</v>
      </c>
      <c r="D794" s="16">
        <v>3.76</v>
      </c>
    </row>
    <row r="795" spans="1:4" x14ac:dyDescent="0.5">
      <c r="B795" s="14" t="str">
        <f>"44449318"</f>
        <v>44449318</v>
      </c>
      <c r="C795" s="15" t="str">
        <f>"HE-Schaft angeschliffen ø 18 mm"</f>
        <v>HE-Schaft angeschliffen ø 18 mm</v>
      </c>
      <c r="D795" s="16">
        <v>3.76</v>
      </c>
    </row>
    <row r="796" spans="1:4" x14ac:dyDescent="0.5">
      <c r="B796" s="14" t="str">
        <f>"44449320"</f>
        <v>44449320</v>
      </c>
      <c r="C796" s="15" t="str">
        <f>"HE-Schaft angeschliffen ø 20 mm"</f>
        <v>HE-Schaft angeschliffen ø 20 mm</v>
      </c>
      <c r="D796" s="16">
        <v>4.51</v>
      </c>
    </row>
    <row r="797" spans="1:4" x14ac:dyDescent="0.5">
      <c r="B797" s="14" t="str">
        <f>"44449325"</f>
        <v>44449325</v>
      </c>
      <c r="C797" s="15" t="str">
        <f>"HE-Schaft angeschliffen ø 25 mm"</f>
        <v>HE-Schaft angeschliffen ø 25 mm</v>
      </c>
      <c r="D797" s="16">
        <v>8.09</v>
      </c>
    </row>
    <row r="798" spans="1:4" ht="18.899999999999999" thickBot="1" x14ac:dyDescent="0.55000000000000004">
      <c r="A798" s="17"/>
      <c r="B798" s="18" t="str">
        <f>"44449332"</f>
        <v>44449332</v>
      </c>
      <c r="C798" s="19" t="str">
        <f>"HE-Schaft angeschliffen ø 32 mm"</f>
        <v>HE-Schaft angeschliffen ø 32 mm</v>
      </c>
      <c r="D798" s="20">
        <v>11.57</v>
      </c>
    </row>
    <row r="799" spans="1:4" x14ac:dyDescent="0.5">
      <c r="A799" s="26" t="s">
        <v>92</v>
      </c>
      <c r="B799" s="21" t="str">
        <f>"444494006"</f>
        <v>444494006</v>
      </c>
      <c r="C799" s="22" t="str">
        <f>"DUOCON-Beschichtet - ø 6 mm"</f>
        <v>DUOCON-Beschichtet - ø 6 mm</v>
      </c>
      <c r="D799" s="23">
        <v>4.8099999999999996</v>
      </c>
    </row>
    <row r="800" spans="1:4" x14ac:dyDescent="0.5">
      <c r="B800" s="14" t="str">
        <f>"444494008"</f>
        <v>444494008</v>
      </c>
      <c r="C800" s="15" t="str">
        <f>"DUOCON-Beschichtet - ø 8 mm"</f>
        <v>DUOCON-Beschichtet - ø 8 mm</v>
      </c>
      <c r="D800" s="16">
        <v>5.27</v>
      </c>
    </row>
    <row r="801" spans="1:4" x14ac:dyDescent="0.5">
      <c r="B801" s="14" t="str">
        <f>"444494010"</f>
        <v>444494010</v>
      </c>
      <c r="C801" s="15" t="str">
        <f>"DUOCON-Beschichtet - ø 10 mm"</f>
        <v>DUOCON-Beschichtet - ø 10 mm</v>
      </c>
      <c r="D801" s="16">
        <v>5.48</v>
      </c>
    </row>
    <row r="802" spans="1:4" x14ac:dyDescent="0.5">
      <c r="B802" s="14" t="str">
        <f>"444494012"</f>
        <v>444494012</v>
      </c>
      <c r="C802" s="15" t="str">
        <f>"DUOCON-Beschichtet - ø 12 mm"</f>
        <v>DUOCON-Beschichtet - ø 12 mm</v>
      </c>
      <c r="D802" s="16">
        <v>6.48</v>
      </c>
    </row>
    <row r="803" spans="1:4" x14ac:dyDescent="0.5">
      <c r="B803" s="14" t="str">
        <f>"444494014"</f>
        <v>444494014</v>
      </c>
      <c r="C803" s="15" t="str">
        <f>"DUOCON-Beschichtet - ø 14 mm"</f>
        <v>DUOCON-Beschichtet - ø 14 mm</v>
      </c>
      <c r="D803" s="16">
        <v>8.56</v>
      </c>
    </row>
    <row r="804" spans="1:4" x14ac:dyDescent="0.5">
      <c r="B804" s="14" t="str">
        <f>"444494016"</f>
        <v>444494016</v>
      </c>
      <c r="C804" s="15" t="str">
        <f>"DUOCON-Beschichtet - ø 16 mm"</f>
        <v>DUOCON-Beschichtet - ø 16 mm</v>
      </c>
      <c r="D804" s="16">
        <v>10.06</v>
      </c>
    </row>
    <row r="805" spans="1:4" x14ac:dyDescent="0.5">
      <c r="B805" s="14" t="str">
        <f>"444494018"</f>
        <v>444494018</v>
      </c>
      <c r="C805" s="15" t="str">
        <f>"DUOCON-Beschichtet - ø 18 mm"</f>
        <v>DUOCON-Beschichtet - ø 18 mm</v>
      </c>
      <c r="D805" s="16">
        <v>12.43</v>
      </c>
    </row>
    <row r="806" spans="1:4" x14ac:dyDescent="0.5">
      <c r="B806" s="14" t="str">
        <f>"444494020"</f>
        <v>444494020</v>
      </c>
      <c r="C806" s="15" t="str">
        <f>"DUOCON-Beschichtet - ø 20 mm"</f>
        <v>DUOCON-Beschichtet - ø 20 mm</v>
      </c>
      <c r="D806" s="16">
        <v>13.77</v>
      </c>
    </row>
    <row r="807" spans="1:4" x14ac:dyDescent="0.5">
      <c r="B807" s="14" t="str">
        <f>"444494025"</f>
        <v>444494025</v>
      </c>
      <c r="C807" s="15" t="str">
        <f>"DUOCON-Beschichtet - ø 25 mm"</f>
        <v>DUOCON-Beschichtet - ø 25 mm</v>
      </c>
      <c r="D807" s="16">
        <v>17.350000000000001</v>
      </c>
    </row>
    <row r="808" spans="1:4" x14ac:dyDescent="0.5">
      <c r="B808" s="14" t="str">
        <f>"444494032"</f>
        <v>444494032</v>
      </c>
      <c r="C808" s="15" t="str">
        <f>"DUOCON-Beschichtet - ø 32 mm"</f>
        <v>DUOCON-Beschichtet - ø 32 mm</v>
      </c>
      <c r="D808" s="16">
        <v>24.05</v>
      </c>
    </row>
    <row r="809" spans="1:4" ht="18.899999999999999" thickBot="1" x14ac:dyDescent="0.55000000000000004">
      <c r="A809" s="17"/>
      <c r="B809" s="18" t="str">
        <f>"444494040"</f>
        <v>444494040</v>
      </c>
      <c r="C809" s="19" t="str">
        <f>"DUOCON-Beschichtet - ø 40 mm"</f>
        <v>DUOCON-Beschichtet - ø 40 mm</v>
      </c>
      <c r="D809" s="20">
        <v>34.590000000000003</v>
      </c>
    </row>
    <row r="810" spans="1:4" x14ac:dyDescent="0.5">
      <c r="A810" s="12" t="s">
        <v>93</v>
      </c>
      <c r="B810" s="21" t="str">
        <f>"44449406"</f>
        <v>44449406</v>
      </c>
      <c r="C810" s="22" t="str">
        <f>"Ta-C-Beschichtet - ø 6 mm"</f>
        <v>Ta-C-Beschichtet - ø 6 mm</v>
      </c>
      <c r="D810" s="23">
        <v>4.8099999999999996</v>
      </c>
    </row>
    <row r="811" spans="1:4" x14ac:dyDescent="0.5">
      <c r="B811" s="14" t="str">
        <f>"44449408"</f>
        <v>44449408</v>
      </c>
      <c r="C811" s="15" t="str">
        <f>"Ta-C-Beschichtet - ø 8 mm"</f>
        <v>Ta-C-Beschichtet - ø 8 mm</v>
      </c>
      <c r="D811" s="16">
        <v>5.27</v>
      </c>
    </row>
    <row r="812" spans="1:4" x14ac:dyDescent="0.5">
      <c r="B812" s="14" t="str">
        <f>"44449410"</f>
        <v>44449410</v>
      </c>
      <c r="C812" s="15" t="str">
        <f>"Ta-C-Beschichtet - ø 10 mm"</f>
        <v>Ta-C-Beschichtet - ø 10 mm</v>
      </c>
      <c r="D812" s="16">
        <v>5.48</v>
      </c>
    </row>
    <row r="813" spans="1:4" x14ac:dyDescent="0.5">
      <c r="B813" s="14" t="str">
        <f>"44449412"</f>
        <v>44449412</v>
      </c>
      <c r="C813" s="15" t="str">
        <f>"Ta-C-Beschichtet - ø 12 mm"</f>
        <v>Ta-C-Beschichtet - ø 12 mm</v>
      </c>
      <c r="D813" s="16">
        <v>6.24</v>
      </c>
    </row>
    <row r="814" spans="1:4" x14ac:dyDescent="0.5">
      <c r="B814" s="14" t="str">
        <f>"44449414"</f>
        <v>44449414</v>
      </c>
      <c r="C814" s="15" t="str">
        <f>"Ta-C-Beschichtet - ø 14 mm"</f>
        <v>Ta-C-Beschichtet - ø 14 mm</v>
      </c>
      <c r="D814" s="16">
        <v>8.27</v>
      </c>
    </row>
    <row r="815" spans="1:4" x14ac:dyDescent="0.5">
      <c r="B815" s="14" t="str">
        <f>"44449416"</f>
        <v>44449416</v>
      </c>
      <c r="C815" s="15" t="str">
        <f>"Ta-C-Beschichtet - ø 16 mm"</f>
        <v>Ta-C-Beschichtet - ø 16 mm</v>
      </c>
      <c r="D815" s="16">
        <v>8.9600000000000009</v>
      </c>
    </row>
    <row r="816" spans="1:4" x14ac:dyDescent="0.5">
      <c r="B816" s="14" t="str">
        <f>"44449418"</f>
        <v>44449418</v>
      </c>
      <c r="C816" s="15" t="str">
        <f>"Ta-C-Beschichtet - ø 18 mm"</f>
        <v>Ta-C-Beschichtet - ø 18 mm</v>
      </c>
      <c r="D816" s="16">
        <v>12.43</v>
      </c>
    </row>
    <row r="817" spans="1:4" x14ac:dyDescent="0.5">
      <c r="B817" s="14" t="str">
        <f>"44449420"</f>
        <v>44449420</v>
      </c>
      <c r="C817" s="15" t="str">
        <f>"Ta-C-Beschichtet - ø 20 mm"</f>
        <v>Ta-C-Beschichtet - ø 20 mm</v>
      </c>
      <c r="D817" s="16">
        <v>12.67</v>
      </c>
    </row>
    <row r="818" spans="1:4" x14ac:dyDescent="0.5">
      <c r="B818" s="14" t="str">
        <f>"44449425"</f>
        <v>44449425</v>
      </c>
      <c r="C818" s="15" t="str">
        <f>"Ta-C-Beschichtet - ø 25 mm"</f>
        <v>Ta-C-Beschichtet - ø 25 mm</v>
      </c>
      <c r="D818" s="16">
        <v>14.75</v>
      </c>
    </row>
    <row r="819" spans="1:4" x14ac:dyDescent="0.5">
      <c r="B819" s="14" t="str">
        <f>"44449432"</f>
        <v>44449432</v>
      </c>
      <c r="C819" s="15" t="str">
        <f>"Ta-C-Beschichtet - ø 32 mm"</f>
        <v>Ta-C-Beschichtet - ø 32 mm</v>
      </c>
      <c r="D819" s="16">
        <v>24.05</v>
      </c>
    </row>
    <row r="820" spans="1:4" ht="18.899999999999999" thickBot="1" x14ac:dyDescent="0.55000000000000004">
      <c r="A820" s="17"/>
      <c r="B820" s="18" t="str">
        <f>"44449440"</f>
        <v>44449440</v>
      </c>
      <c r="C820" s="19" t="str">
        <f>"Ta-C-Beschichtet - ø 40 mm"</f>
        <v>Ta-C-Beschichtet - ø 40 mm</v>
      </c>
      <c r="D820" s="20">
        <v>34.590000000000003</v>
      </c>
    </row>
    <row r="821" spans="1:4" x14ac:dyDescent="0.5">
      <c r="A821" s="12" t="s">
        <v>94</v>
      </c>
      <c r="B821" s="21" t="str">
        <f>"44449506"</f>
        <v>44449506</v>
      </c>
      <c r="C821" s="22" t="str">
        <f>"Naco-blue-Beschichtet - ø 6 mm"</f>
        <v>Naco-blue-Beschichtet - ø 6 mm</v>
      </c>
      <c r="D821" s="23">
        <v>4.8099999999999996</v>
      </c>
    </row>
    <row r="822" spans="1:4" x14ac:dyDescent="0.5">
      <c r="B822" s="14" t="str">
        <f>"44449508"</f>
        <v>44449508</v>
      </c>
      <c r="C822" s="15" t="str">
        <f>"Naco-blue-Beschichtet - ø 8 mm"</f>
        <v>Naco-blue-Beschichtet - ø 8 mm</v>
      </c>
      <c r="D822" s="16">
        <v>5.27</v>
      </c>
    </row>
    <row r="823" spans="1:4" x14ac:dyDescent="0.5">
      <c r="B823" s="14" t="str">
        <f>"44449510"</f>
        <v>44449510</v>
      </c>
      <c r="C823" s="15" t="str">
        <f>"Naco-blue-Beschichtet - ø 10 mm"</f>
        <v>Naco-blue-Beschichtet - ø 10 mm</v>
      </c>
      <c r="D823" s="16">
        <v>5.48</v>
      </c>
    </row>
    <row r="824" spans="1:4" x14ac:dyDescent="0.5">
      <c r="B824" s="14" t="str">
        <f>"44449512"</f>
        <v>44449512</v>
      </c>
      <c r="C824" s="15" t="str">
        <f>"Naco-blue-Beschichtet - ø 12 mm"</f>
        <v>Naco-blue-Beschichtet - ø 12 mm</v>
      </c>
      <c r="D824" s="16">
        <v>6.24</v>
      </c>
    </row>
    <row r="825" spans="1:4" x14ac:dyDescent="0.5">
      <c r="B825" s="14" t="str">
        <f>"44449514"</f>
        <v>44449514</v>
      </c>
      <c r="C825" s="15" t="str">
        <f>"Naco-blue-Beschichtet - ø 14 mm"</f>
        <v>Naco-blue-Beschichtet - ø 14 mm</v>
      </c>
      <c r="D825" s="16">
        <v>8.27</v>
      </c>
    </row>
    <row r="826" spans="1:4" x14ac:dyDescent="0.5">
      <c r="B826" s="14" t="str">
        <f>"44449516"</f>
        <v>44449516</v>
      </c>
      <c r="C826" s="15" t="str">
        <f>"Naco-blue-Beschichtet - ø 16 mm"</f>
        <v>Naco-blue-Beschichtet - ø 16 mm</v>
      </c>
      <c r="D826" s="16">
        <v>8.9600000000000009</v>
      </c>
    </row>
    <row r="827" spans="1:4" x14ac:dyDescent="0.5">
      <c r="B827" s="14" t="str">
        <f>"44449518"</f>
        <v>44449518</v>
      </c>
      <c r="C827" s="15" t="str">
        <f>"Naco-blue-Beschichtet - ø 18 mm"</f>
        <v>Naco-blue-Beschichtet - ø 18 mm</v>
      </c>
      <c r="D827" s="16">
        <v>12.43</v>
      </c>
    </row>
    <row r="828" spans="1:4" x14ac:dyDescent="0.5">
      <c r="B828" s="14" t="str">
        <f>"44449520"</f>
        <v>44449520</v>
      </c>
      <c r="C828" s="15" t="str">
        <f>"Naco-blue-Beschichtet - ø 20 mm"</f>
        <v>Naco-blue-Beschichtet - ø 20 mm</v>
      </c>
      <c r="D828" s="16">
        <v>12.67</v>
      </c>
    </row>
    <row r="829" spans="1:4" x14ac:dyDescent="0.5">
      <c r="B829" s="14" t="str">
        <f>"44449525"</f>
        <v>44449525</v>
      </c>
      <c r="C829" s="15" t="str">
        <f>"Naco-blue-Beschichtet - ø 25 mm"</f>
        <v>Naco-blue-Beschichtet - ø 25 mm</v>
      </c>
      <c r="D829" s="16">
        <v>14.75</v>
      </c>
    </row>
    <row r="830" spans="1:4" x14ac:dyDescent="0.5">
      <c r="B830" s="14" t="str">
        <f>"44449532"</f>
        <v>44449532</v>
      </c>
      <c r="C830" s="15" t="str">
        <f>"Naco-blue-Beschichtet - ø 32 mm"</f>
        <v>Naco-blue-Beschichtet - ø 32 mm</v>
      </c>
      <c r="D830" s="16">
        <v>24.05</v>
      </c>
    </row>
    <row r="831" spans="1:4" x14ac:dyDescent="0.5">
      <c r="A831" s="28"/>
      <c r="B831" s="25" t="str">
        <f>"44449540"</f>
        <v>44449540</v>
      </c>
      <c r="C831" s="29" t="str">
        <f>"Naco-blue-Beschichtet - ø 40 mm"</f>
        <v>Naco-blue-Beschichtet - ø 40 mm</v>
      </c>
      <c r="D831" s="30">
        <v>34.590000000000003</v>
      </c>
    </row>
  </sheetData>
  <sortState xmlns:xlrd2="http://schemas.microsoft.com/office/spreadsheetml/2017/richdata2" ref="A401:K406">
    <sortCondition ref="C401:C406"/>
  </sortState>
  <mergeCells count="1">
    <mergeCell ref="C5:D5"/>
  </mergeCell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993DA-8C2F-4AF5-9F67-AF8382BDE0A5}">
  <dimension ref="A1"/>
  <sheetViews>
    <sheetView workbookViewId="0">
      <selection sqref="A1:C1048576"/>
    </sheetView>
  </sheetViews>
  <sheetFormatPr baseColWidth="10" defaultRowHeight="14.6" x14ac:dyDescent="0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Nachschärfen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Hofer</dc:creator>
  <cp:lastModifiedBy>Tobias Kofler</cp:lastModifiedBy>
  <dcterms:created xsi:type="dcterms:W3CDTF">2022-01-19T14:28:17Z</dcterms:created>
  <dcterms:modified xsi:type="dcterms:W3CDTF">2023-02-27T12:51:44Z</dcterms:modified>
</cp:coreProperties>
</file>